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2.xml" ContentType="application/vnd.openxmlformats-officedocument.spreadsheetml.comments+xml"/>
  <Override PartName="/xl/tables/table14.xml" ContentType="application/vnd.openxmlformats-officedocument.spreadsheetml.table+xml"/>
  <Override PartName="/xl/tables/table15.xml" ContentType="application/vnd.openxmlformats-officedocument.spreadsheetml.table+xml"/>
  <Override PartName="/xl/comments3.xml" ContentType="application/vnd.openxmlformats-officedocument.spreadsheetml.comments+xml"/>
  <Override PartName="/xl/tables/table16.xml" ContentType="application/vnd.openxmlformats-officedocument.spreadsheetml.table+xml"/>
  <Override PartName="/xl/comments4.xml" ContentType="application/vnd.openxmlformats-officedocument.spreadsheetml.comments+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ables/table20.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225" windowWidth="15480" windowHeight="8385" firstSheet="1" activeTab="3"/>
  </bookViews>
  <sheets>
    <sheet name="Metas" sheetId="2" state="hidden" r:id="rId1"/>
    <sheet name="PORTADA" sheetId="32" r:id="rId2"/>
    <sheet name="RESUMEN PROGRAMAS" sheetId="30" r:id="rId3"/>
    <sheet name="PAGO SERVICIOS" sheetId="29" r:id="rId4"/>
    <sheet name="OPERACION DIF" sheetId="25" r:id="rId5"/>
    <sheet name="TRABAJO SOCIAL" sheetId="27" r:id="rId6"/>
    <sheet name="ADULTO MAYOR" sheetId="1" r:id="rId7"/>
    <sheet name="APCE" sheetId="26" r:id="rId8"/>
    <sheet name="UAVI" sheetId="13" r:id="rId9"/>
    <sheet name="CONSEJO MPAL DE FAMILIA" sheetId="17" r:id="rId10"/>
    <sheet name="COMEDOR ASISTENCIAL" sheetId="22" r:id="rId11"/>
    <sheet name="URR" sheetId="12" r:id="rId12"/>
    <sheet name="ECAPAF" sheetId="6" r:id="rId13"/>
    <sheet name="PAAD" sheetId="18" r:id="rId14"/>
    <sheet name="PAIDEA" sheetId="15" r:id="rId15"/>
    <sheet name="DESAYUNOS ESCOLARES" sheetId="21" r:id="rId16"/>
    <sheet name="SERVICIOS A LA COMUNIDAD" sheetId="28" r:id="rId17"/>
    <sheet name="CADI" sheetId="16" r:id="rId18"/>
    <sheet name="NIÑOS TRABAJADORES" sheetId="20" r:id="rId19"/>
    <sheet name="PREVERP" sheetId="14" r:id="rId20"/>
    <sheet name="NIÑOS DIFUSORES" sheetId="19" r:id="rId21"/>
    <sheet name="COMPARACION" sheetId="31" r:id="rId22"/>
    <sheet name="EJEM" sheetId="4" r:id="rId23"/>
    <sheet name="GUÍA" sheetId="5" r:id="rId24"/>
  </sheets>
  <externalReferences>
    <externalReference r:id="rId25"/>
  </externalReferences>
  <calcPr calcId="145621"/>
</workbook>
</file>

<file path=xl/calcChain.xml><?xml version="1.0" encoding="utf-8"?>
<calcChain xmlns="http://schemas.openxmlformats.org/spreadsheetml/2006/main">
  <c r="U15" i="17" l="1"/>
  <c r="V15" i="17" s="1"/>
  <c r="J15" i="13"/>
  <c r="V15" i="30"/>
  <c r="J17" i="13" l="1"/>
  <c r="J17" i="16" l="1"/>
  <c r="V18" i="1" l="1"/>
  <c r="V19" i="1"/>
  <c r="V20" i="1"/>
  <c r="V17" i="1"/>
  <c r="V17" i="13" l="1"/>
  <c r="V17" i="25" l="1"/>
  <c r="B19" i="31" l="1"/>
  <c r="B17" i="31"/>
  <c r="B16" i="31"/>
  <c r="B15" i="31"/>
  <c r="B14" i="31"/>
  <c r="B13" i="31"/>
  <c r="B12" i="31"/>
  <c r="B11" i="31"/>
  <c r="B9" i="31"/>
  <c r="B7" i="31"/>
  <c r="B6" i="31"/>
  <c r="B4" i="31"/>
  <c r="B5" i="31"/>
  <c r="B8" i="31"/>
  <c r="B2" i="31"/>
  <c r="B22" i="31" l="1"/>
  <c r="C8" i="31"/>
  <c r="D8" i="31" s="1"/>
  <c r="V28" i="29"/>
  <c r="V27" i="29"/>
  <c r="V29" i="29"/>
  <c r="V26" i="29"/>
  <c r="V25" i="29"/>
  <c r="V24" i="29"/>
  <c r="V16" i="27"/>
  <c r="V18" i="25"/>
  <c r="V16" i="12"/>
  <c r="V16" i="16"/>
  <c r="V17" i="14"/>
  <c r="V19" i="14"/>
  <c r="V30" i="29"/>
  <c r="V23" i="29"/>
  <c r="V22" i="29"/>
  <c r="V21" i="29"/>
  <c r="V20" i="29"/>
  <c r="V19" i="29"/>
  <c r="V18" i="29"/>
  <c r="V17" i="29"/>
  <c r="V16" i="29"/>
  <c r="V15" i="29"/>
  <c r="V17" i="28"/>
  <c r="V16" i="28"/>
  <c r="V15" i="28"/>
  <c r="V17" i="27"/>
  <c r="V15" i="27"/>
  <c r="V15" i="26"/>
  <c r="V16" i="26" s="1"/>
  <c r="V16" i="25"/>
  <c r="V15" i="25"/>
  <c r="V15" i="22"/>
  <c r="V15" i="21"/>
  <c r="V15" i="20"/>
  <c r="V16" i="19"/>
  <c r="V15" i="19"/>
  <c r="V15" i="18"/>
  <c r="V16" i="18" s="1"/>
  <c r="V16" i="17"/>
  <c r="V17" i="16"/>
  <c r="V15" i="16"/>
  <c r="V17" i="15"/>
  <c r="V16" i="15"/>
  <c r="V15" i="15"/>
  <c r="V18" i="14"/>
  <c r="V16" i="14"/>
  <c r="V15" i="14"/>
  <c r="V16" i="13"/>
  <c r="V15" i="13"/>
  <c r="V15" i="12"/>
  <c r="K11" i="18" l="1"/>
  <c r="V24" i="30"/>
  <c r="K11" i="26"/>
  <c r="V18" i="30"/>
  <c r="J18" i="30" s="1"/>
  <c r="L21" i="30"/>
  <c r="M21" i="30" s="1"/>
  <c r="N21" i="30" s="1"/>
  <c r="O21" i="30" s="1"/>
  <c r="P21" i="30" s="1"/>
  <c r="Q21" i="30" s="1"/>
  <c r="R21" i="30" s="1"/>
  <c r="S21" i="30" s="1"/>
  <c r="T21" i="30" s="1"/>
  <c r="U21" i="30" s="1"/>
  <c r="V17" i="19"/>
  <c r="V19" i="25"/>
  <c r="V17" i="22"/>
  <c r="V16" i="21"/>
  <c r="K11" i="21" s="1"/>
  <c r="V18" i="13"/>
  <c r="V17" i="20"/>
  <c r="V18" i="16"/>
  <c r="V18" i="15"/>
  <c r="V20" i="14"/>
  <c r="V18" i="27"/>
  <c r="V18" i="28"/>
  <c r="V16" i="30" s="1"/>
  <c r="J16" i="30" s="1"/>
  <c r="K16" i="30" s="1"/>
  <c r="L16" i="30" s="1"/>
  <c r="M16" i="30" s="1"/>
  <c r="N16" i="30" s="1"/>
  <c r="O16" i="30" s="1"/>
  <c r="P16" i="30" s="1"/>
  <c r="Q16" i="30" s="1"/>
  <c r="R16" i="30" s="1"/>
  <c r="S16" i="30" s="1"/>
  <c r="T16" i="30" s="1"/>
  <c r="U16" i="30" s="1"/>
  <c r="V17" i="12"/>
  <c r="V17" i="17"/>
  <c r="V25" i="30" s="1"/>
  <c r="V31" i="29"/>
  <c r="V17" i="6"/>
  <c r="V16" i="6"/>
  <c r="V16" i="1"/>
  <c r="V21" i="1"/>
  <c r="V15" i="1"/>
  <c r="V15" i="6"/>
  <c r="V19" i="4"/>
  <c r="V18" i="4"/>
  <c r="V17" i="4"/>
  <c r="V16" i="4"/>
  <c r="V15" i="4"/>
  <c r="K11" i="17" l="1"/>
  <c r="K11" i="28"/>
  <c r="K11" i="14"/>
  <c r="V28" i="30"/>
  <c r="K11" i="16"/>
  <c r="V26" i="30"/>
  <c r="K11" i="13"/>
  <c r="V29" i="30"/>
  <c r="V33" i="30" s="1"/>
  <c r="K11" i="22"/>
  <c r="V20" i="30"/>
  <c r="K11" i="19"/>
  <c r="V23" i="30"/>
  <c r="C5" i="31"/>
  <c r="D5" i="31" s="1"/>
  <c r="K18" i="30"/>
  <c r="L18" i="30" s="1"/>
  <c r="M18" i="30" s="1"/>
  <c r="N18" i="30" s="1"/>
  <c r="O18" i="30" s="1"/>
  <c r="P18" i="30" s="1"/>
  <c r="Q18" i="30" s="1"/>
  <c r="R18" i="30" s="1"/>
  <c r="S18" i="30" s="1"/>
  <c r="T18" i="30" s="1"/>
  <c r="U18" i="30" s="1"/>
  <c r="C11" i="31"/>
  <c r="D11" i="31" s="1"/>
  <c r="J24" i="30"/>
  <c r="K24" i="30" s="1"/>
  <c r="L24" i="30" s="1"/>
  <c r="M24" i="30" s="1"/>
  <c r="N24" i="30" s="1"/>
  <c r="O24" i="30" s="1"/>
  <c r="P24" i="30" s="1"/>
  <c r="Q24" i="30" s="1"/>
  <c r="R24" i="30" s="1"/>
  <c r="S24" i="30" s="1"/>
  <c r="T24" i="30" s="1"/>
  <c r="U24" i="30" s="1"/>
  <c r="K11" i="29"/>
  <c r="C2" i="31"/>
  <c r="K11" i="12"/>
  <c r="V30" i="30"/>
  <c r="K11" i="27"/>
  <c r="V17" i="30"/>
  <c r="K11" i="15"/>
  <c r="V27" i="30"/>
  <c r="K11" i="20"/>
  <c r="V22" i="30"/>
  <c r="K11" i="25"/>
  <c r="V19" i="30"/>
  <c r="V18" i="6"/>
  <c r="V20" i="4"/>
  <c r="K11" i="4" s="1"/>
  <c r="V22" i="1"/>
  <c r="J15" i="30" l="1"/>
  <c r="K15" i="30" s="1"/>
  <c r="L15" i="30" s="1"/>
  <c r="M15" i="30" s="1"/>
  <c r="N15" i="30" s="1"/>
  <c r="O15" i="30" s="1"/>
  <c r="P15" i="30" s="1"/>
  <c r="Q15" i="30" s="1"/>
  <c r="R15" i="30" s="1"/>
  <c r="S15" i="30" s="1"/>
  <c r="T15" i="30" s="1"/>
  <c r="U15" i="30" s="1"/>
  <c r="C6" i="31"/>
  <c r="D6" i="31" s="1"/>
  <c r="J19" i="30"/>
  <c r="K19" i="30" s="1"/>
  <c r="L19" i="30" s="1"/>
  <c r="M19" i="30" s="1"/>
  <c r="N19" i="30" s="1"/>
  <c r="O19" i="30" s="1"/>
  <c r="P19" i="30" s="1"/>
  <c r="Q19" i="30" s="1"/>
  <c r="R19" i="30" s="1"/>
  <c r="S19" i="30" s="1"/>
  <c r="T19" i="30" s="1"/>
  <c r="U19" i="30" s="1"/>
  <c r="C9" i="31"/>
  <c r="D9" i="31" s="1"/>
  <c r="J22" i="30"/>
  <c r="K22" i="30" s="1"/>
  <c r="L22" i="30" s="1"/>
  <c r="M22" i="30" s="1"/>
  <c r="N22" i="30" s="1"/>
  <c r="O22" i="30" s="1"/>
  <c r="P22" i="30" s="1"/>
  <c r="Q22" i="30" s="1"/>
  <c r="R22" i="30" s="1"/>
  <c r="S22" i="30" s="1"/>
  <c r="T22" i="30" s="1"/>
  <c r="U22" i="30" s="1"/>
  <c r="C14" i="31"/>
  <c r="D14" i="31" s="1"/>
  <c r="J27" i="30"/>
  <c r="K27" i="30" s="1"/>
  <c r="L27" i="30" s="1"/>
  <c r="M27" i="30" s="1"/>
  <c r="N27" i="30" s="1"/>
  <c r="O27" i="30" s="1"/>
  <c r="P27" i="30" s="1"/>
  <c r="Q27" i="30" s="1"/>
  <c r="R27" i="30" s="1"/>
  <c r="S27" i="30" s="1"/>
  <c r="T27" i="30" s="1"/>
  <c r="U27" i="30" s="1"/>
  <c r="C4" i="31"/>
  <c r="D4" i="31" s="1"/>
  <c r="J17" i="30"/>
  <c r="K17" i="30" s="1"/>
  <c r="L17" i="30" s="1"/>
  <c r="M17" i="30" s="1"/>
  <c r="N17" i="30" s="1"/>
  <c r="O17" i="30" s="1"/>
  <c r="P17" i="30" s="1"/>
  <c r="Q17" i="30" s="1"/>
  <c r="R17" i="30" s="1"/>
  <c r="S17" i="30" s="1"/>
  <c r="T17" i="30" s="1"/>
  <c r="U17" i="30" s="1"/>
  <c r="C17" i="31"/>
  <c r="D17" i="31" s="1"/>
  <c r="J30" i="30"/>
  <c r="K30" i="30" s="1"/>
  <c r="L30" i="30" s="1"/>
  <c r="M30" i="30" s="1"/>
  <c r="N30" i="30" s="1"/>
  <c r="O30" i="30" s="1"/>
  <c r="P30" i="30" s="1"/>
  <c r="Q30" i="30" s="1"/>
  <c r="R30" i="30" s="1"/>
  <c r="S30" i="30" s="1"/>
  <c r="T30" i="30" s="1"/>
  <c r="U30" i="30" s="1"/>
  <c r="C10" i="31"/>
  <c r="D10" i="31" s="1"/>
  <c r="J23" i="30"/>
  <c r="K23" i="30" s="1"/>
  <c r="L23" i="30" s="1"/>
  <c r="M23" i="30" s="1"/>
  <c r="N23" i="30" s="1"/>
  <c r="O23" i="30" s="1"/>
  <c r="P23" i="30" s="1"/>
  <c r="Q23" i="30" s="1"/>
  <c r="R23" i="30" s="1"/>
  <c r="S23" i="30" s="1"/>
  <c r="T23" i="30" s="1"/>
  <c r="U23" i="30" s="1"/>
  <c r="C7" i="31"/>
  <c r="D7" i="31" s="1"/>
  <c r="J20" i="30"/>
  <c r="K20" i="30" s="1"/>
  <c r="L20" i="30" s="1"/>
  <c r="M20" i="30" s="1"/>
  <c r="N20" i="30" s="1"/>
  <c r="O20" i="30" s="1"/>
  <c r="P20" i="30" s="1"/>
  <c r="Q20" i="30" s="1"/>
  <c r="R20" i="30" s="1"/>
  <c r="S20" i="30" s="1"/>
  <c r="T20" i="30" s="1"/>
  <c r="U20" i="30" s="1"/>
  <c r="C16" i="31"/>
  <c r="D16" i="31" s="1"/>
  <c r="C13" i="31"/>
  <c r="D13" i="31" s="1"/>
  <c r="J26" i="30"/>
  <c r="K26" i="30" s="1"/>
  <c r="L26" i="30" s="1"/>
  <c r="M26" i="30" s="1"/>
  <c r="N26" i="30" s="1"/>
  <c r="O26" i="30" s="1"/>
  <c r="P26" i="30" s="1"/>
  <c r="Q26" i="30" s="1"/>
  <c r="R26" i="30" s="1"/>
  <c r="S26" i="30" s="1"/>
  <c r="T26" i="30" s="1"/>
  <c r="U26" i="30" s="1"/>
  <c r="C15" i="31"/>
  <c r="D15" i="31" s="1"/>
  <c r="J28" i="30"/>
  <c r="K28" i="30" s="1"/>
  <c r="L28" i="30" s="1"/>
  <c r="M28" i="30" s="1"/>
  <c r="N28" i="30" s="1"/>
  <c r="O28" i="30" s="1"/>
  <c r="P28" i="30" s="1"/>
  <c r="Q28" i="30" s="1"/>
  <c r="R28" i="30" s="1"/>
  <c r="S28" i="30" s="1"/>
  <c r="T28" i="30" s="1"/>
  <c r="U28" i="30" s="1"/>
  <c r="C3" i="31"/>
  <c r="D3" i="31" s="1"/>
  <c r="C12" i="31"/>
  <c r="D12" i="31" s="1"/>
  <c r="K25" i="30"/>
  <c r="L25" i="30" s="1"/>
  <c r="M25" i="30" s="1"/>
  <c r="N25" i="30" s="1"/>
  <c r="O25" i="30" s="1"/>
  <c r="P25" i="30" s="1"/>
  <c r="Q25" i="30" s="1"/>
  <c r="R25" i="30" s="1"/>
  <c r="S25" i="30" s="1"/>
  <c r="T25" i="30" s="1"/>
  <c r="U25" i="30" s="1"/>
  <c r="K11" i="1"/>
  <c r="V31" i="30"/>
  <c r="K11" i="6"/>
  <c r="V32" i="30"/>
  <c r="D2" i="31"/>
  <c r="C19" i="31" l="1"/>
  <c r="D19" i="31" s="1"/>
  <c r="J32" i="30"/>
  <c r="K32" i="30" s="1"/>
  <c r="L32" i="30" s="1"/>
  <c r="M32" i="30" s="1"/>
  <c r="N32" i="30" s="1"/>
  <c r="O32" i="30" s="1"/>
  <c r="P32" i="30" s="1"/>
  <c r="Q32" i="30" s="1"/>
  <c r="R32" i="30" s="1"/>
  <c r="S32" i="30" s="1"/>
  <c r="T32" i="30" s="1"/>
  <c r="U32" i="30" s="1"/>
  <c r="C18" i="31"/>
  <c r="J31" i="30"/>
  <c r="K31" i="30" s="1"/>
  <c r="L31" i="30" s="1"/>
  <c r="M31" i="30" s="1"/>
  <c r="N31" i="30" s="1"/>
  <c r="O31" i="30" s="1"/>
  <c r="P31" i="30" s="1"/>
  <c r="Q31" i="30" s="1"/>
  <c r="R31" i="30" s="1"/>
  <c r="S31" i="30" s="1"/>
  <c r="T31" i="30" s="1"/>
  <c r="U31" i="30" s="1"/>
  <c r="K11" i="30"/>
  <c r="D18" i="31" l="1"/>
  <c r="C22" i="31"/>
  <c r="D22" i="31" s="1"/>
</calcChain>
</file>

<file path=xl/comments1.xml><?xml version="1.0" encoding="utf-8"?>
<comments xmlns="http://schemas.openxmlformats.org/spreadsheetml/2006/main">
  <authors>
    <author>Usuario</author>
  </authors>
  <commentList>
    <comment ref="J15" authorId="0">
      <text>
        <r>
          <rPr>
            <b/>
            <sz val="9"/>
            <color indexed="81"/>
            <rFont val="Tahoma"/>
            <family val="2"/>
          </rPr>
          <t>FONDO DE EMERGENCIAS</t>
        </r>
      </text>
    </comment>
  </commentList>
</comments>
</file>

<file path=xl/comments2.xml><?xml version="1.0" encoding="utf-8"?>
<comments xmlns="http://schemas.openxmlformats.org/spreadsheetml/2006/main">
  <authors>
    <author>DIF</author>
  </authors>
  <commentList>
    <comment ref="B17" authorId="0">
      <text>
        <r>
          <rPr>
            <b/>
            <sz val="8"/>
            <color indexed="81"/>
            <rFont val="Tahoma"/>
            <family val="2"/>
          </rPr>
          <t>DIF:</t>
        </r>
        <r>
          <rPr>
            <sz val="8"/>
            <color indexed="81"/>
            <rFont val="Tahoma"/>
            <family val="2"/>
          </rPr>
          <t xml:space="preserve">
SE PRETENDE INTEGRAR A 20 JOVENES MAS EN EL TRANSCURSO DEL 2011
</t>
        </r>
      </text>
    </comment>
  </commentList>
</comments>
</file>

<file path=xl/comments3.xml><?xml version="1.0" encoding="utf-8"?>
<comments xmlns="http://schemas.openxmlformats.org/spreadsheetml/2006/main">
  <authors>
    <author>DIF</author>
  </authors>
  <commentList>
    <comment ref="B9" authorId="0">
      <text>
        <r>
          <rPr>
            <b/>
            <sz val="8"/>
            <color indexed="81"/>
            <rFont val="Tahoma"/>
            <family val="2"/>
          </rPr>
          <t>DIF:</t>
        </r>
        <r>
          <rPr>
            <sz val="8"/>
            <color indexed="81"/>
            <rFont val="Tahoma"/>
            <family val="2"/>
          </rPr>
          <t xml:space="preserve">
ESTE PROGRAMA YA SE PAGO EN 2010 Y LO QUE SE REQUIERE ES SOLAMENTE MANTENIMIENTO
</t>
        </r>
      </text>
    </comment>
    <comment ref="J16" authorId="0">
      <text>
        <r>
          <rPr>
            <b/>
            <sz val="8"/>
            <color indexed="81"/>
            <rFont val="Tahoma"/>
            <family val="2"/>
          </rPr>
          <t>DIF:</t>
        </r>
        <r>
          <rPr>
            <sz val="8"/>
            <color indexed="81"/>
            <rFont val="Tahoma"/>
            <family val="2"/>
          </rPr>
          <t xml:space="preserve">
ETE DINERO SERA UNICAMENTE PARA COMPRAR SOLTADORES PERSONALIZADOS</t>
        </r>
      </text>
    </comment>
  </commentList>
</comments>
</file>

<file path=xl/comments4.xml><?xml version="1.0" encoding="utf-8"?>
<comments xmlns="http://schemas.openxmlformats.org/spreadsheetml/2006/main">
  <authors>
    <author>Usuario</author>
  </authors>
  <commentList>
    <comment ref="J17" authorId="0">
      <text>
        <r>
          <rPr>
            <b/>
            <sz val="9"/>
            <color indexed="81"/>
            <rFont val="Tahoma"/>
            <family val="2"/>
          </rPr>
          <t>CERCA ELECTRICA,
CAMARAS
VIGILANCIA CONTROLADA,
CERCAR</t>
        </r>
        <r>
          <rPr>
            <sz val="9"/>
            <color indexed="81"/>
            <rFont val="Tahoma"/>
            <family val="2"/>
          </rPr>
          <t xml:space="preserve">
</t>
        </r>
      </text>
    </comment>
  </commentList>
</comments>
</file>

<file path=xl/sharedStrings.xml><?xml version="1.0" encoding="utf-8"?>
<sst xmlns="http://schemas.openxmlformats.org/spreadsheetml/2006/main" count="3068" uniqueCount="1279">
  <si>
    <t>Meta</t>
  </si>
  <si>
    <t>Programa</t>
  </si>
  <si>
    <t>Objetivo</t>
  </si>
  <si>
    <t>Frecuencia:</t>
  </si>
  <si>
    <t>Meta Anual:</t>
  </si>
  <si>
    <t>Programa:</t>
  </si>
  <si>
    <t>Objetivo:</t>
  </si>
  <si>
    <t>Propósitos:</t>
  </si>
  <si>
    <t>Fórmula:</t>
  </si>
  <si>
    <t xml:space="preserve"> Total </t>
  </si>
  <si>
    <t>TG</t>
  </si>
  <si>
    <t>Indicador</t>
  </si>
  <si>
    <t>Verificacion</t>
  </si>
  <si>
    <t>Estrategia</t>
  </si>
  <si>
    <t>FUNCIONARIOS EFICIENTES.</t>
  </si>
  <si>
    <t>SELECCIÓN, INDUCCIÓN Y EVALUACIÓN DEL SERVIDOR PÚBLICO, QUE SEA CAPAZ Y COMPETENTE A REALIZAR SUS ACTIVIDADES COTIDIANAS.</t>
  </si>
  <si>
    <t>MANUAL DE PROCEDIMIENTOS Y MANUAL DE PERFILES DE PUESTOS</t>
  </si>
  <si>
    <t>MANUALES DE PUESTOS, SISTEMA DE INDUCCIÓN Y EVIDENCIA DE SU APLICACIÓN.</t>
  </si>
  <si>
    <t>PROPORCIONAR DE MANERA INTEGRAL EL OTORGAMIENTO DE SERVICIOS Y PRESTACIONES A LOS SERVIDORES PÚBLICOS.</t>
  </si>
  <si>
    <t>FORTALECER A LOS SERVIDORES MEDIANTE CAPACITACIÓN  Y EL EQUIPO ADECUADO PARA DESEMPEÑAR SUS FUNCIONES</t>
  </si>
  <si>
    <t xml:space="preserve">REMUNERAR A LOS SERVIDORES PÚBLICOS DE ACUERDO AL DESEMPEÑO DE SUS ACTIVIDADES </t>
  </si>
  <si>
    <t>Nº DE SERVIDORES CON DESEMPEÑO ALTO / TOTAL DE SERVIDORES PÚBLICOS.</t>
  </si>
  <si>
    <t>LISTADO DE EVALUACIONES DE DESEMPEÑO. ACUERDOS CON EMPRESAS.</t>
  </si>
  <si>
    <t>OFRECER A LOS SERVIDORES PÚBLICOS UN SERVICIO MÉDICO EFICIENTE.</t>
  </si>
  <si>
    <t xml:space="preserve">SERVIDORES POR MEDICO MUNICIPAL </t>
  </si>
  <si>
    <t>PROGRAMA DE TRABAJO Y RESULTADOS DOCUMENTADOS</t>
  </si>
  <si>
    <t>PROGRAMA DE CAPACITACIÓN EN BASE A NECESIDADES DE LOS DEPARTAMENTOS.</t>
  </si>
  <si>
    <t>Nº CAPACITACIONES /Nº DE TRABAJADORES.</t>
  </si>
  <si>
    <t>RESULTADO DE ENCUESTA DE NECESIDADES DE CAPACITACIÓN.</t>
  </si>
  <si>
    <t>CONTAR CON HERRAMIENTAS TECNOLÓGICAS E INFORMÁTICAS PARA UN BUEN DESEMPEÑO LABORAL</t>
  </si>
  <si>
    <t>INVENTARIO DEL EQUIPO DE COMPUTO Y SU ESTATUS DE CALIDAD</t>
  </si>
  <si>
    <t>EVIDENCIA DE LA ACTUALIZACIÓN TECNOLÓGICA E INFORMÁTICA</t>
  </si>
  <si>
    <t>PROGRAMA DE PRODUCTIVIDAD (EVALUACIÓN DE DESEMPEÑO).</t>
  </si>
  <si>
    <t>Nº DE EVALUACIONES APLICADAS / TOTAL DE EMPLEADOS.</t>
  </si>
  <si>
    <t>EVALUACIONES APLICADAS</t>
  </si>
  <si>
    <t>EVALUACIÓN Y CAMPAÑA DE CALIDAD EN EL SERVICIO.</t>
  </si>
  <si>
    <t>Nº DE EMPLEADOS CAPACITADOS / TOTAL DE EMPLEADOS.</t>
  </si>
  <si>
    <t>LISTAS DE ASISTENCIA Y SINOPSIS DEL TALLER</t>
  </si>
  <si>
    <t>ENTÉRATE.</t>
  </si>
  <si>
    <t>PROGRAMA DE ESTUDIOS DE OPINIÓN E IMPACTO EN LA SOCIEDAD.</t>
  </si>
  <si>
    <t>ESTUDIOS REALIZADOS Y RESULTADOS OBTENIDOS.</t>
  </si>
  <si>
    <t>RESULTADOS DEL ESTUDIO Y PLAN DE ACCIONES, EVIDENCIA DE SU APLICACIÓN.</t>
  </si>
  <si>
    <t>LOGRAR LA CONSOLIDACIÓN DE UNA NUEVA RELACIÓN ENTRE EL GOBIERNO Y LOS CIUDADANOS</t>
  </si>
  <si>
    <t>ESTABLECER SISTEMAS DE COMUNICACIÓN ENTRE EL GOBIERNO Y LA SOCIEDAD.</t>
  </si>
  <si>
    <t>APLICACIÓN DE ENCUESTAS DE OPINIÓN E IMPACTO EN LA SOCIEDAD.</t>
  </si>
  <si>
    <t>APLICACIÓN DE ENCUESTAS DE OPINIÓN E IMPACTO EN LA SOCIEDAD</t>
  </si>
  <si>
    <t>RESULTADO DE LAS ENCUESTAS APLICADAS.</t>
  </si>
  <si>
    <t>RETROALIMENTACIÓN A LA SOCIEDAD DE LOS RESULTADOS Y EL SEGUIMIENTO.</t>
  </si>
  <si>
    <t>N° DE PERSONAS INFORMADAS DE LOS RESULTADOS /TOTAL DE PERSONAS QUE REALIZARON ENCUESTA.</t>
  </si>
  <si>
    <t>PUBLICACIÓN O CARTAS DE INFORMACIÓN A LA CIUDADANÍA DE LAS ACCIONES REALIZADAS.</t>
  </si>
  <si>
    <t>PROGRAMA DE COMUNICACIÓN CON LA SOCIEDAD.</t>
  </si>
  <si>
    <t>N° DE ASOCIACIONES CIVILES Y GRUPOS ORGANIZADOS INVOLUCRADAS /TOTAL DE GRUPOS Y ASOCIACIONES</t>
  </si>
  <si>
    <t>PROGRAMA, MINUTAS DE LA REUNIÓN.</t>
  </si>
  <si>
    <t>DISEÑO Y ELABORACIÓN PERIÓDICA DE LA REVISTA “CONFIANZA” COMO ÓRGANO INFORMATIVO DEL AYTO.</t>
  </si>
  <si>
    <t>PUBLICACIONES DE LA REVISTA Y N° DE CIUDADANOS QUE TIENEN ACCESO /TOTAL DE CIUDADANOS.</t>
  </si>
  <si>
    <t>EJEMPLARES DE LA REVISTA</t>
  </si>
  <si>
    <t>REALIZACIÓN DE LA GACETA MUNICIPAL.</t>
  </si>
  <si>
    <t>N° DE GACETAS REALIZADAS.</t>
  </si>
  <si>
    <t>GACETA MUNICIPAL.</t>
  </si>
  <si>
    <t>NOTICIERO POR INTERNET (TIPO LAS 7 DEL 7).</t>
  </si>
  <si>
    <t>N° DE NOTICIEROS REALIZADOS /TOTAL DE CIUDADANOS QUE LO VEN.</t>
  </si>
  <si>
    <t>IMPRESIÓN O GRABACIÓN DEL NOTICIERO.</t>
  </si>
  <si>
    <t>PROGRAMA DE ENLACE CIUDADANO</t>
  </si>
  <si>
    <t>CERTIFICACIÓN DEL ISO 9000 DE DEPARTAMENTOS.</t>
  </si>
  <si>
    <t>DEPARTAMENTOS CERTIFICADOS / TOTAL DE DEPARTAMENTOS.</t>
  </si>
  <si>
    <t>DEPENDENCIAS CERTIFICADAS</t>
  </si>
  <si>
    <t>PROPICIAR CONFIANZA CIUDADANA, MEDIANTE LA RESOLUCIÓN DE SUS NECESIDADES.</t>
  </si>
  <si>
    <t>BRINDAR SOLUCIONES RÁPIDAS Y EFICIENTES A LAS PETICIONES CIUDADANAS, GESTIONANDO ANTE LA DIRECCIÓN CORRESPONDIENTE LA SOLUCIÓN A SU PROPUESTA.</t>
  </si>
  <si>
    <t>RECEPCIÓN DE QUEJAS, SUGERENCIAS Y DEMANDAS</t>
  </si>
  <si>
    <t>N° DE QUEJAS, SUGERENCIAS Y DEMANDAS  RECIBIDAS/TOTAL DE RESPUESTA.</t>
  </si>
  <si>
    <t>BITÁCORA DE SEGUIMIENTO RESPECTO A LAS  QUEJAS, SUGERENCIAS Y DEMANDAS.</t>
  </si>
  <si>
    <t>CREACIÓN Y FORTALECIMIENTO DE UNA RED DE ORGANIZACIONES SOCIALES CIVILES.</t>
  </si>
  <si>
    <t>N° DE ORGANIZACIONES INVOLUCRADAS/ TOTAL DE ORGANIZACIONES.</t>
  </si>
  <si>
    <t>LISTADO DE LA RED DE ORGANIZACIONES. MINUTAS DE LAS REUNIONES.</t>
  </si>
  <si>
    <t>IMPULSAR LA PARTICIPACIÓN CIUDADANA, LOS COMITÉS VECINALES Y LA ORGANIZACIÓN DE LA SOCIEDAD.</t>
  </si>
  <si>
    <t>COMITÉS VECINALES / TOTAL DE COLONIAS.</t>
  </si>
  <si>
    <t>EVIDENCIA DE LA PARTICIPACIÓN, ACCIONES IMPULSADAS Y PERSONAS BENEFICIADAS.</t>
  </si>
  <si>
    <t>ORGANIZACIÓN Y COMUNICACIÓN CON LAS DELEGACIONES.</t>
  </si>
  <si>
    <t>REUNIONES PERIÓDICAS CON LAS DELEGACIONES</t>
  </si>
  <si>
    <t>MINUTAS, OFICIOS, MEMORÁNDUM CON LOS DELEGADOS.</t>
  </si>
  <si>
    <t>MUNICIPIO TRANSPARENTE</t>
  </si>
  <si>
    <t>FORMAR EL CONSEJO CIUDADANO DE TRANSPARENCIA</t>
  </si>
  <si>
    <t>INSTITUCIONES INTEGRADAS AL CONSEJO DE TRANSPARENCIA/ TOTAL DE INSTITUCIONES CIUDADANAS</t>
  </si>
  <si>
    <t>ACTA DE INSTALACIÓN DEL CONSEJO.</t>
  </si>
  <si>
    <t>PROVOCAR UNA GESTIÓN EFICIENTE, EFICAZ Y TRANSPARENTE, GARANTIZANDO LA CORRECTA UTILIZACIÓN DE LOS RECURSOS PÚBLICOS.</t>
  </si>
  <si>
    <t>VIGILAR EL CUMPLIMIENTO DE PLANES Y PROGRAMAS, LOGROS Y OBJETIVOS, VERIFICANDO LA CALIFICACIÓN DE LOS CIUDADANOS.</t>
  </si>
  <si>
    <t>AUDITORÍA, REVISIÓN Y SUPERVISIÓN A DEPENDENCIAS MUNICIPALES.</t>
  </si>
  <si>
    <t>N° DE DEPARTAMENTOS AUDITADOS / TOTAL DE DEPENDENCIAS.</t>
  </si>
  <si>
    <t>AUDITORÍAS REALIZADAS. BITÁCORA.</t>
  </si>
  <si>
    <t>SUPERVISIÓN DE LAS LICITACIONES DE OBRAS PÚBLICAS Y RAMO 33</t>
  </si>
  <si>
    <t>N° DE LICITACIONES SUPERVISADAS /TOTAL DE SUPERVISIONES.</t>
  </si>
  <si>
    <t>ACTAS DE LAS REUNIONES DE LA SUPERVISIÓN. RESPUESTA.</t>
  </si>
  <si>
    <t>AUDITORÍA DE PROGRAMAS SOCIAL</t>
  </si>
  <si>
    <t>N° DE PROGRAMAS SOCIALES SUPERVISADOS. /TOTAL DE PROGRAMAS.</t>
  </si>
  <si>
    <t>COMIDA SANA.</t>
  </si>
  <si>
    <t>PROMOCIÓN DE INSTITUCIONES Y MECANISMOS DE CONTROL DE LA SALUD ALIMENTARIA.</t>
  </si>
  <si>
    <t>INSTITUCIONES QUE TIENEN MECANISMOS DE CONTROL EN LA ALIMENTACIÓN/ EL TOTAL DE INSTITUCIONES</t>
  </si>
  <si>
    <t>PROGRAMAS DE SALUD ALIMENTARIA</t>
  </si>
  <si>
    <t>MEJORAR EL NIVEL NUTRICIONAL DE LA POBLACIÓN</t>
  </si>
  <si>
    <t>PROMOVER LA ASISTENCIA ALIMENTARIA EN TODOS LOS ÁMBITOS</t>
  </si>
  <si>
    <t>PROPICIAR EN LAS INSTITUCIONES EDUCATIVAS LOS DESAYUNOS ESCOLARES NUTRITIVOS</t>
  </si>
  <si>
    <t>INSTITUCIONES EDUCATIVAS CON DESAYUNOS ESCOLARES / TOTAL DE INSTITUCIONES</t>
  </si>
  <si>
    <t>DESAYUNOS ESCOLARES ENTREGADOS</t>
  </si>
  <si>
    <t>PROMOCIÓN DE COMIDA SANA</t>
  </si>
  <si>
    <t>CAMPAÑAS DE COMIDA SANA REALIZADAS CAMPAÑAS PLANEADAS</t>
  </si>
  <si>
    <t>PLAN Y PUBLICIDAD DE LAS CAMPAÑAS</t>
  </si>
  <si>
    <t>CREAR UNA CLÍNICA DE ATENCIÓN A TRASTORNOS ALIMENTICIOS.</t>
  </si>
  <si>
    <t>CLÍNICA DE ATENCIÓN</t>
  </si>
  <si>
    <t>CONSTANCIA DEL FUNCIONAMIENTO DE LA CLÍNICA.</t>
  </si>
  <si>
    <t>TODOS SOMOS IGUALES</t>
  </si>
  <si>
    <t>DIAGNÓSTICO Y DIFUSIÓN</t>
  </si>
  <si>
    <t>DIAGNÓSTICO</t>
  </si>
  <si>
    <t>RESULTADOS DEL DIAGNÓSTICO</t>
  </si>
  <si>
    <t>PROCURAR LAS CONDICIONES NECESARIAS PARA BRINDAR ATENCIÓN ESPECIALIZADA A PERSONAS CON DISCAPACIDAD</t>
  </si>
  <si>
    <t>IMPLEMENTAR PROGRAMAS PARA LA ATENCIÓN INTEGRAL A LAS PERSONAS CON DISCAPACIDAD Y SUS FAMILIARES.</t>
  </si>
  <si>
    <t>ATENCIÓN INTEGRAL A PERSONAS CON DISCAPACIDAD.</t>
  </si>
  <si>
    <t>PERSONAS ATENDIDAS / TOTAL DE DISCAPACITADOS.</t>
  </si>
  <si>
    <t>PROGRAMA DE ATENCIÓN A PERSONAS CON DISCAPACIDAD</t>
  </si>
  <si>
    <t>PROPICIAR LA ATENCIÓN MÉDICA Y DE ESTUDIOS MÉDICOS PROFESIONALES A LAS PERSONAS CON DISCAPACIDAD.</t>
  </si>
  <si>
    <t>SERVICIOS DE ATENCIÓN EXISTENTES / SERVICIOS NECESARIOS PARA ATENDER A LAS PERSONAS CON DISCAPACIDAD</t>
  </si>
  <si>
    <t>DOCUMENTOS QUE AVALEN EL SERVICIO.</t>
  </si>
  <si>
    <t>ENSEÑAR EL SISTEMA BRAILLE A INVIDENTES (LECTURA Y COMPUTACIÓN)</t>
  </si>
  <si>
    <t>PERSONAS QUE ESTÁN RECIBIENDO CAPACITACIÓN PARA LA LECTURA BRAILLE</t>
  </si>
  <si>
    <t>PROGRAMA DE TRABAJO, INSTALACIONES Y RESULTADOS DOCUMENTADOS</t>
  </si>
  <si>
    <t>PROPICIAR LA ATENCIÓN DE REHABILITACIÓN INTEGRAL A LAS PERSONAS CON DISCAPACIDAD.</t>
  </si>
  <si>
    <t>SERVICIOS DE REHABILITACIÓN EXISTENTES / SERVICIOS DE REHABILITACIÓN NECESARIOS</t>
  </si>
  <si>
    <t>DOCUMENTOS QUE AVALEN LAS TERAPIAS DE REHABILITACIÓN.</t>
  </si>
  <si>
    <t>UNIR ESFUERZOS CON LA SOCIEDAD CIVIL PARA LA DISMINUCIÓN DE SUICIDIOS EN NUESTRA CIUDAD.</t>
  </si>
  <si>
    <t>CAMPAÑAS DE FORMACIÓN DE VALORES Y PREVENCIÓN DE ENFERMEDADES PARA EVITAR LA PROMISCUIDAD, ABUSO SEXUAL Y CONTAGIO DE ENFERMEDADES DEBIDO AL HACINAMIENTO FAMILIAR.</t>
  </si>
  <si>
    <t>CAMPAÑAS REALIZADAS  POR PROBLEMÁTICA DETECTADA</t>
  </si>
  <si>
    <t>NÚMERO DE CAMPAÑAS REALIZADAS.</t>
  </si>
  <si>
    <t>DISMINUCIÓN DEL SUICIDIO EN TEPATITLÁN</t>
  </si>
  <si>
    <t>TRABAJAR DE LA MANO CON ASOCIACIONES CIVILES Y RELIGIOSAS PARA PREVENIR EL SUICIDIO.</t>
  </si>
  <si>
    <t>ATENCIÓN PROFESIONAL Y DETECCIÓN OPORTUNA A PERSONAS CON TENDENCIAS SUICIDAS.</t>
  </si>
  <si>
    <t>PERSONAS QUE SE HAN DETECTADO CON TENDENCIAS SUICIDAS / PERSONAS QUE SE ESTÁN ATENDIENDO PROFESIONALMENTE</t>
  </si>
  <si>
    <t>ESTADÍSTICAS QUE DEMUESTREN DISMINUCIÓN DEL NÚMERO DE SUICIDIOS EN EL MUNICIPIO.</t>
  </si>
  <si>
    <t>INTERNADO PÚBLICO PARA ADOLESCENTES (ELLOS Y ELLAS POR SEPARADO) PARA DISMINUIR EL AUMENTO DE SUICIDIOS Y DELINCUENCIA.</t>
  </si>
  <si>
    <t>ADOLESCENTES RECIBIENDO ATENCIÓN Y CUIDADOS / ADOLESCENTES EN LA CALLE.</t>
  </si>
  <si>
    <t>FUNCIONAMIENTO,  Y ESTRUCTURA DEL INTERNADO.</t>
  </si>
  <si>
    <t>APOYO A LA CLÍNICA DE SALUD MENTAL</t>
  </si>
  <si>
    <t>APOYOS BRINDADOS A LA CLÍNICA DE SALUD MENTAL / APOYOS SOLICITADOS</t>
  </si>
  <si>
    <t>EVIDENCIA DEL FUNCIONAMIENTO DE LA CLÍNICA.</t>
  </si>
  <si>
    <t>ADICCIÓN CERO.</t>
  </si>
  <si>
    <t>IMPLEMENTAR EL PROGRAMA DE ALCOHOLÍMETRO CON EL FIN DE EVITAR ACCIDENTES AUTOMOVILÍSTICOS CAUSADOS POR EL ABUSO DEL ALCOHOL</t>
  </si>
  <si>
    <t>ÍNDICES DE ACCIDENTES A CAUSA DEL CONSUMO DE ALCOHOL ANTES Y DESPUÉS DEL USO DEL ALCOHOLÍMETRO</t>
  </si>
  <si>
    <t>ESTADÍSTICA DE ACCIDENTES Y SUS CAUSAS</t>
  </si>
  <si>
    <t>DISMINUCIÓN DE LAS ADICCIONES EN EL MUNICIPIO</t>
  </si>
  <si>
    <t>CONCIENTIZAR SOBRE EL PELIGRO Y LAS CONSECUENCIAS DE LAS ADICCIONES</t>
  </si>
  <si>
    <t>CAMPAÑA DE SI TOMA NO MANEJE.(CREAR CONCIENCIA EN EL AUTOMOVILISTA)</t>
  </si>
  <si>
    <t>DISEÑO DE LA CAMPAÑA</t>
  </si>
  <si>
    <t>RESULTADOS DE LA APLICACIÓN DE LA CAMPAÑA</t>
  </si>
  <si>
    <t>RESTRINGIR PERMISOS PARA FUMAR EN ESPACIOS PÚBLICOS.</t>
  </si>
  <si>
    <t>LUGARES DONDE SE PROHÍBE FUMAR / EL TOTAL DE ESTABLECIMIENTOS</t>
  </si>
  <si>
    <t>DISMINUCIÓN DE FUMADORES EN LUGARES PÚBLICOS.</t>
  </si>
  <si>
    <t>SALUD A TU ALCANCE.</t>
  </si>
  <si>
    <t>AMPLIAR LA COBERTURA DEL SERVICIO DE SALUD GRATUITO.</t>
  </si>
  <si>
    <t>CAPACIDAD DE LOS CENTROS DE SALUD / EL TOTAL DE CIUDADANOS</t>
  </si>
  <si>
    <t>DEMOSTRAR QUE EL TOTAL DE LA CIUDADANÍA TIENE ACCESO A LOS SERVICIOS DE SALUD</t>
  </si>
  <si>
    <t>SISTEMA DE SALUD EFICIENTE Y CON ACCESO A TODOS LA POBLACIÓN</t>
  </si>
  <si>
    <t>GESTIONAR ANTE INSTITUCIONES COMPETENTES LA COBERTURA Y CALIDAD DE SISTEMA DE SALUD.</t>
  </si>
  <si>
    <t>CAMPAÑAS PARA PREVENIR A TIEMPO ENFERMEDADES.</t>
  </si>
  <si>
    <t>CAMPAÑAS REALIZADAS / CAMPAÑAS PROYECTADAS</t>
  </si>
  <si>
    <t>RESULTADOS DE LAS CAMPAÑAS</t>
  </si>
  <si>
    <t>PROGRAMAS DE EDUCACIÓN SEXUAL CON VALORES POR PROFESIONALES EN EL TEMA.</t>
  </si>
  <si>
    <t>ACTIVIDADES REALIZADAS / ACTIVIDADES PROGRAMADAS</t>
  </si>
  <si>
    <t>PROGRAMA Y RESULTADOS</t>
  </si>
  <si>
    <t>CAMPAÑA INFORMATIVA SOBRE RIESGOS Y CONSECUENCIAS DE USO DE ANTICONCEPTIVOS.</t>
  </si>
  <si>
    <t>IMPLEMENTACIÓN DE LA CAMPAÑA.</t>
  </si>
  <si>
    <t>RESULTADOS Y EVALUACIÓN DE LA CAMPAÑA</t>
  </si>
  <si>
    <t>ATENCIÓN INTEGRAL DEL ADULTO MAYOR</t>
  </si>
  <si>
    <t>PROGRAMA DE SALUD ENCAMINADO A MEJORAR LA CALIDAD DE VIDA DEL ADULTO MAYOR.</t>
  </si>
  <si>
    <t>PERSONAS ATENDIDAS / PERSONAS NECESITADAS DEL SERVICIO</t>
  </si>
  <si>
    <t>REPORTES DE RESULTADOS</t>
  </si>
  <si>
    <t>BRINDAR ATENCIÓN MEDICA, ECONÓMICA Y SOCIAL AL ADULTO MAYOR</t>
  </si>
  <si>
    <t>PROGRAMAS QUE FACILITEN LA SUBSISTENCIA Y ESPARCIMIENTO DEL ADULTO MAYOR</t>
  </si>
  <si>
    <t>FACILITAR EL ACCESO A PROGRAMAS DE APOYO A LOS ADULTOS DEL MUNICIPIO</t>
  </si>
  <si>
    <t>PROGRAMAS DE APOYO AL ADULTO MAYOR / PERSONAS BENEFICIADAS POR PROGRAMA</t>
  </si>
  <si>
    <t>REPORTE DE LOS PROGRAMAS</t>
  </si>
  <si>
    <t>ESTANCIA DIA PARA ADULTOS MAYORES</t>
  </si>
  <si>
    <t>PERSONAS ATENDIDAS / PERSONAS “OBJETIVO”</t>
  </si>
  <si>
    <t>REPORTE DE RESULTADOS</t>
  </si>
  <si>
    <t>CENTRO DE ATENCIÓN INTEGRAL AL ADULTO MAYOR</t>
  </si>
  <si>
    <t>INSTALACIONES EXISTENTES / INSTALACIONES NECESARIAS PARA LA ATENCIÓN INTEGRAL AL ADULTO MAYOR</t>
  </si>
  <si>
    <t>INVENTARIO DE INSTALACIONES Y EQUIPAMIENTO.</t>
  </si>
  <si>
    <t>DISMINUIR EL PROBLEMA DE LA DESERCIÓN ESCOLAR.</t>
  </si>
  <si>
    <t>SENSIBILIZAR A LOS PADRES DE FAMILIA SOBRE LA IMPORTANCIA Y NECESIDAD DE LA EDUCACIÓN EN SUS HIJOS.</t>
  </si>
  <si>
    <t>ACTIVIDADES DE SENSIBILIZACIÓN REALIZADAS / ACTIVIDADES PLANEADAS</t>
  </si>
  <si>
    <t>PROGRAMA Y RESULTADOS DOCUMENTADOS</t>
  </si>
  <si>
    <t>DISMINUIR LA DESERCIÓN ESCOLAR</t>
  </si>
  <si>
    <t>PROPICIAR LAS CONDICIONES NECESARIAS PARA QUE LA FAMILIA SOLVENTE SUS NECESIDADES BÁSICAS SIN NECESIDAD DE QUE LOS ESTUDIANTES TENGAN QUE TRABAJAR.</t>
  </si>
  <si>
    <t>MONITOREO INSTITUCIONAL DE LOS DESERTORES ESCOLARES.</t>
  </si>
  <si>
    <t>INSTITUCIONES EDUCATIVAS QUE MONITOREAN LA DESERCIÓN / TOTAL DE INSTITUCIONES EDUCATIVAS</t>
  </si>
  <si>
    <t>PROGRAMA DE MONITOREO ESCOLAR</t>
  </si>
  <si>
    <t>PROPICIAR FUENTES DE EMPLEO PARA LOS PADRES DE FAMILIA.</t>
  </si>
  <si>
    <t>EMPLEOS GENERADOS</t>
  </si>
  <si>
    <t>DISMINUCIÓN DE LA DESERCIÓN ESCOLAR.</t>
  </si>
  <si>
    <t>CALIDAD EDUCATIVA</t>
  </si>
  <si>
    <t>OBLIGATORIEDAD DE CARRERA MAGISTERIAL Y ACTUALIZACIONES PERIÓDICAS. ESPECIALIZACIÓN DE MAESTROS, PARA AUMENTAR LA CALIDAD EDUCATIVA.</t>
  </si>
  <si>
    <t>MAESTROS CON CARRERA MAGISTERIAL / MAESTROS TOTALES</t>
  </si>
  <si>
    <t>DIAGNÓSTICO DEL NIVEL DE ESTUDIOS EN LOS MAESTROS.</t>
  </si>
  <si>
    <t>MEJORAR LA CALIDAD EDUCATIVA DEL MUNICIPIO</t>
  </si>
  <si>
    <t>FOMENTAR LA CAPACITACIÓN PROFESIONAL DE LOS MAESTROS A FIN DE ELEVAR EL NIVEL EDUCATIVO DE LA POBLACIÓN.</t>
  </si>
  <si>
    <t>PROPICIAR LA FORMACIÓN DE MAESTROS LOCALES E IMPEDIR QUE LOS SINDICATOS FEDERALES PONGAN MAESTROS FORÁNEOS.</t>
  </si>
  <si>
    <t>MAESTROS LOCALES / MAESTROS FORÁNEOS</t>
  </si>
  <si>
    <t>LISTA DE MAESTROS CAPACITADOS Y QUE SON DEL MUNICIPIO.</t>
  </si>
  <si>
    <t>INFORMAR A LAS AUTORIDADES EDUCATIVAS PARA CONOCER LAS ESTADÍSTICAS Y LA TOMA DE MEJORES DECISIONES.</t>
  </si>
  <si>
    <t>ESTADÍSTICAS DE EDUCACIÓN ACTUALIZADAS</t>
  </si>
  <si>
    <t>TOMA DE DECISIONES BASADAS EN LAS ESTADÍSTICAS.</t>
  </si>
  <si>
    <t>MEJORA DE SALARIOS PARA EVITAR QUE LOS MAESTROS DUPLIQUEN PLAZAS Y SEA DEFICIENTE LA ENSEÑANZA.</t>
  </si>
  <si>
    <t>MAESTROS CON DOBLE PLAZA /TOTAL DE MAESTROS DEL MUNICIPIO.</t>
  </si>
  <si>
    <t>AUMENTO EN EL PROMEDIO GENERAL DE LA POBLACIÓN.</t>
  </si>
  <si>
    <t>CAPACITACIÓN A MAESTROS PARA LA ATENCIÓN DE NIÑOS CON DISCAPACIDAD EN LAS ESCUELAS.</t>
  </si>
  <si>
    <t>NIÑOS CON DISCAPACIDAD QUE ASISTEN A LA ESCUELA / TOTAL DE NIÑOS CON ALGÚN TIPO DE DISCAPACIDAD.</t>
  </si>
  <si>
    <t>INTEGRACIÓN Y DESARROLLO DE LOS NIÑOS CON DISCAPACIDAD.</t>
  </si>
  <si>
    <t>ELEVAR EL NIVEL EDUCATIVO DE LA POBLACIÓN (AÑOS DE ESTUDIO).</t>
  </si>
  <si>
    <t>PROMEDIO DEL AÑO INMEDIATO ANTERIOR / PROMEDIO DEL AÑO ACTUAL.</t>
  </si>
  <si>
    <t>MEJORAR EL PROMEDIO EDUCATIVO.</t>
  </si>
  <si>
    <t>PROMOVER CAMPAÑAS DE CALIDAD EN LA EDUCACIÓN PARA INCREMENTAR EL NIVEL DE CONOCIMIENTOS</t>
  </si>
  <si>
    <t>CAMPAÑAS DE CALIDAD / PERSONAS A LAS QUE LES LLEGÓ.</t>
  </si>
  <si>
    <t>PROGRAMA DE LA CAMPAÑA Y REPORTE DE RESULTADOS.</t>
  </si>
  <si>
    <t>IMPLEMENTAR MECANISMOS DE FORMACIÓN PARA EL DOCENTE EN EDUCACIÓN SUPERIOR.</t>
  </si>
  <si>
    <t>MAESTROS DE EDUCACIÓN SUPERIOR CON POSGRADOS, MAESTRÍAS O DOCTORADOS / TOTAL DE MAESTROS.</t>
  </si>
  <si>
    <t>MAESTROS DE EDUCACIÓN SUPERIOR CON CONOCIMIENTOS PEDAGÓGICOS.</t>
  </si>
  <si>
    <t>EXÁMENES DE CALIDAD PARA LAS PLAZAS EDUCATIVAS</t>
  </si>
  <si>
    <t>MAESTROS QUE REALIZAN EXÁMENES DE CALIDAD / TOTAL DE MAESTROS.</t>
  </si>
  <si>
    <t>MAESTROS CAPACITAOS PARA LA DOCENCIA.</t>
  </si>
  <si>
    <t>ACTUALIZACIONES PARA DOCENTES DE NIVEL SUPERIOR.</t>
  </si>
  <si>
    <t>MAESTROS QUE SE ACTUALIZARON / TOTAL DE MAESTROS</t>
  </si>
  <si>
    <t>CONSTANCIAS DE LOS PROGRAMA DE ACTUALIZACIÓN Y LISTA DE ASISTENCIA</t>
  </si>
  <si>
    <t>COBERTURA EDUCATIVA</t>
  </si>
  <si>
    <t>REALIZAR UN DIAGNÓSTICO REAL DE LA DEMANDA PROFESIONAL EN EL MUNICIPIO.</t>
  </si>
  <si>
    <t>DOCUMENTO DEL DIAGNÓSTICO</t>
  </si>
  <si>
    <t>PLAN DE ACCIONES BASADAS EN LOS RESULTADOS DEL DIAGNÓSTICO</t>
  </si>
  <si>
    <t>FORTALECER LA COBERTURA EDUCATIVA Y DISMINUIR EL HACINAMIENTO EN LOS LAS AULAS EDUCATIVAS.</t>
  </si>
  <si>
    <t>FORTALECER LAS INSTITUCIONES EDUCATIVAS,  PROMOVIENDO LOS VALORES CÍVICOS, COSTUMBRES Y LAS TRADICIONES DE LA CULTURA ALTEÑA.</t>
  </si>
  <si>
    <t>AMPLIAR OFERTA EDUCATIVA TECNOLÓGICA.</t>
  </si>
  <si>
    <t xml:space="preserve">GESTIÓN DE INSTITUCIONES TÉCNICO EDUCATIVAS </t>
  </si>
  <si>
    <t>EVIDENCIA DE LA GESTIÓN, DOCUMENTOS, MINUTAS DE REUNIÓN ETC.</t>
  </si>
  <si>
    <t>ATRAER INSTITUCIONES EDUCATIVAS DE NIVEL MEDIO SUPERIOR Y SUPERIOR, EN CABECERA Y DELEGACIONES.</t>
  </si>
  <si>
    <t>GESTIÓN</t>
  </si>
  <si>
    <t>AMPLIAR CATÁLOGO DE CARRERAS UNIVERSITARIAS.</t>
  </si>
  <si>
    <t>GESTIÓN ANTE EL CUALTOS, PARA QUE SE INCREMENTE EL CATÁLOGO</t>
  </si>
  <si>
    <t>BUSCAR MECANISMOS PARA OFERTAR CARRERAS CON POSIBILIDADES REALES DE DESARROLLO LOCAL.</t>
  </si>
  <si>
    <t>ESTUDIO DE POTENCIALIDADES DEL MUNICIPIO</t>
  </si>
  <si>
    <t xml:space="preserve">OFERTA PROFESIONAL ENCAMINADA AL VOCACIONAMIENTO </t>
  </si>
  <si>
    <t>IMPLEMENTAR MECANISMOS PARA ELEVAR EL NIVEL ACADÉMICO DE LOS EGRESADOS, PREPARÁNDOLOS PARA SU DESARROLLO PROFESIONAL.</t>
  </si>
  <si>
    <t>PROGRAMA EDUCATIVO</t>
  </si>
  <si>
    <t>APLICACIÓN DEL PROGRAMA</t>
  </si>
  <si>
    <t>FOMENTAR LA EDUCACIÓN EN COLONIAS MARGINADAS</t>
  </si>
  <si>
    <t xml:space="preserve">CAMPAÑA PARA MOTIVAR LA SUPERACIÓN </t>
  </si>
  <si>
    <t>DISMINUCIÓN DE PERSONAS SIN ESTUDIAR.</t>
  </si>
  <si>
    <t>REFORZAR LAS CAMPAÑAS DEL IEEA PARA DISMINUIR EL REZAGO EDUCATIVO DE LA POBLACIÓN</t>
  </si>
  <si>
    <t>PERSONAS ESTUDIANDO EN EL IEA / TOTAL SIN CONCLUIR EDUCACIÓN BÁSICA.</t>
  </si>
  <si>
    <t>INCREMENTO DE GRUPOS DE ESTUDIO.</t>
  </si>
  <si>
    <t>GENERAR ESPACIOS PROVISIONALES PARA DISMINUIR EL HACINAMIENTO EDUCATIVO.</t>
  </si>
  <si>
    <t>ESPACIOS CREADOS / INFRAESTRUCTURA NECESARIA</t>
  </si>
  <si>
    <t>REPORTE DE ACTIVIDADES Y LOGROS COMPROBABLES.</t>
  </si>
  <si>
    <t>CONSTRUCCIÓN DE BIBLIOTECAS DEL MUNICIPIO.</t>
  </si>
  <si>
    <t xml:space="preserve">COBERTURA DE LAS BIBLIOTECAS </t>
  </si>
  <si>
    <t>ESCUELA SEGURA.</t>
  </si>
  <si>
    <t>VIGILANCIA ORGANIZADA PARA EVITAR EL CONSUMO Y DISTRIBUCIÓN DE DROGA EN LAS ESCUELAS.</t>
  </si>
  <si>
    <t>ESCUELAS CON PROGRAMAS DE VIGILANCIA / TOTAL DE LAS ESCUELAS</t>
  </si>
  <si>
    <t>DISMINUCIÓN DEL CONSUMO DE DROGA</t>
  </si>
  <si>
    <t>DISMINUIR LA DROGADICCIÓN EN INSTITUCIONES EDUCATIVAS.</t>
  </si>
  <si>
    <t>PROGRAMAS DE PREVENCIÓN Y VIGILANCIA ENCAMINADOS A DISMINUIR LA DROGADICCIÓN</t>
  </si>
  <si>
    <t>IMPARTIR PROGRAMAS EN LAS INSTITUCIONES ESCOLARES PARA PREVENIR EL USO Y ABUSO DE LAS DROGAS (DARE)</t>
  </si>
  <si>
    <t>ESCUELAS PARTICIPANTES EN CURSOS DARE / TOTAL DE ESCUELAS.</t>
  </si>
  <si>
    <t>ALUMNOS QUE RECIBIERON EL CURSO.</t>
  </si>
  <si>
    <t xml:space="preserve">CAMPAÑAS EDUCATIVAS DE PREVENCIÓN </t>
  </si>
  <si>
    <t>ESCUELA CON PROGRAMAS DE PREVENCIÓN / TOTAL DE ESCUELAS</t>
  </si>
  <si>
    <t>PROGRAMA Y REPORTE DE ACTIVIDADES</t>
  </si>
  <si>
    <t>PROMOCIÓN DE LOS VALORES</t>
  </si>
  <si>
    <t>CAMPAÑA EN REDES SOCIALES Y ESCUELAS DE PADRES PARA LA VIVENCIA Y PROMOCIÓN DE LOS VALORES.</t>
  </si>
  <si>
    <t>INSTITUCIONES SUMADAS AL PROGRAMA / TOTAL DE INSTITUCIONES</t>
  </si>
  <si>
    <t>PROGRAMA Y REPORTE DE RESULTADOS.</t>
  </si>
  <si>
    <t>FOMENTAR LA VIVENCIA DE VALORES ENTRE LOS NIÑOS Y ADOLESCENTES DEL MUNICIPIO</t>
  </si>
  <si>
    <t>INVOLUCRAR A LAS INSTITUCIONES EDUCATIVAS, EL GOBIERNO Y LA SOCIEDAD EN LA PROMOCIÓN Y VIVENCIA DE LOS VALORES.</t>
  </si>
  <si>
    <t>TALLERES EXTRACURRICULARES DE FORMACIÓN FAMILIAR A ESTUDIANTES</t>
  </si>
  <si>
    <t>TALLERES IMPARTIDOS / NIÑOS QUE ASISTEN A ELLOS.</t>
  </si>
  <si>
    <t>SUPÉRATE</t>
  </si>
  <si>
    <t>ATENCIÓN PROFESIONALIZADA PARA DETECTAR EL PROBLEMA.</t>
  </si>
  <si>
    <t xml:space="preserve">NIÑOS CON BAJO APRENDIZAJE / EL TOTAL DE NIÑOS EN LAS INSTITUCIONES.  </t>
  </si>
  <si>
    <t>LISTA DE NIÑOS CON BAJO APRENDIZAJE QUE ESTÁN SIENDO TRATADOS.</t>
  </si>
  <si>
    <t>BRINDAR ATENCIÓN ESPECIALIZADA A NIÑOS CON BAJO APRENDIZAJE</t>
  </si>
  <si>
    <t>PROMOVER PROGRAMAS DE APOYO PROFESIONAL PARA NIÑOS CON BAJO APRENDIZAJE.</t>
  </si>
  <si>
    <t>NORMAR LA EXISTENCIA DE UN GABINETE PSICOPEDAGÓGICO EN INSTITUCIONES EDUCATIVAS.</t>
  </si>
  <si>
    <t>ESCUELAS QUE CUENTAN CON UN GABINETE PSICOLÓGICO / TOTAL DE ESCUELAS.</t>
  </si>
  <si>
    <t>REPORTE DE ESCUELAS QUE CUENTAN CON ASESORÍA</t>
  </si>
  <si>
    <t>LOS NIÑOS SON ESCLAVOS DE LA TECNOLOGÍA</t>
  </si>
  <si>
    <t>REGLAMENTAR EL USO DE LOS CIBER A MENORES DE EDAD.</t>
  </si>
  <si>
    <t xml:space="preserve">REGLAMENTO DEL USO DEL CIBER </t>
  </si>
  <si>
    <t>EVIDENCIA DEL CUMPLIMIENTO DE DICHO REGLAMENTO.</t>
  </si>
  <si>
    <t>REDUCIR ESCLAVITUD DE INFANTES  ANTE LA TECNOLOGÍA</t>
  </si>
  <si>
    <t>PROPICIAR ACTIVIDADES PARA QUE LOS NIÑOS DISMINUYAN EL TIEMPO FRENTE A INTERNET Y VIDEO JUEGOS</t>
  </si>
  <si>
    <t>PROMOCIÓN DE LA SANA DISTRACCIÓN Y LA CONVIVENCIA VECINAL A TRAVÉS DE PROGRAMAS DIRIGIDOS EN PARQUES Y PLAZAS.</t>
  </si>
  <si>
    <t>ACTIVIDADES EXTRACURRICULARES / NIÑOS Y ADOLESCENTES QUE LAS UTILIZAN.</t>
  </si>
  <si>
    <t>PROGRAMA, REPORTE DE ACTIVIDADES Y ASISTENTES</t>
  </si>
  <si>
    <t>CALIDAD Y COMPETITIVIDAD PARA LA VIDA.</t>
  </si>
  <si>
    <t>PROGRAMAS DE COMPETITIVIDAD PARA EMPRENDEDORES</t>
  </si>
  <si>
    <t>PROGRAMA / % DE APLICACIÓN</t>
  </si>
  <si>
    <t>PROGRAMA Y REPORTE DE RESULTADOS</t>
  </si>
  <si>
    <t>FOMENTAR LA CALIDAD Y COMPETITIVIDAD EN LOS ESTUDIANTES.</t>
  </si>
  <si>
    <t>PROGRAMAS EDUCATIVOS ENCAMINADOS AL DESARROLLO DE EMPRENDEDORES.</t>
  </si>
  <si>
    <t xml:space="preserve">PROMOVER PROGRAMAS EDUCATIVOS QUE CAPACITEN A EGRESADOS PARA SER EMPLEADORES Y NO EMPLEADOS </t>
  </si>
  <si>
    <t>EXISTE ALGÚN PROGRAMA PARA EL INCREMENTO DE LA COMPETITIVIDAD CON RESULTADOS DOCUMENTADOS (CALIDAD Y PRECIOS DE LOS PRODUCTOS Y SERVICIOS).</t>
  </si>
  <si>
    <t>PROMOVER LA INVESTIGACIÓN EN INSTITUCIONES EDUCATIVAS</t>
  </si>
  <si>
    <t>INVESTIGADORES EN EL MUNICIPIO</t>
  </si>
  <si>
    <t xml:space="preserve">REPORTE DE LAS INVESTIGACIONES QUE SE REALIZAN EN LAS INSTITUCIONES EDUCATIVAS </t>
  </si>
  <si>
    <t>GENERAR NUEVAS TECNOLOGÍAS PARA LAS RAMAS PRODUCTIVAS DEL MUNICIPIO.</t>
  </si>
  <si>
    <t>FOMENTO A LA GENERACIÓN DE NUEVAS TECNOLOGÍAS.</t>
  </si>
  <si>
    <t>CAMPAÑA DE REVALORIZACIÓN DEL ADULTO MAYOR</t>
  </si>
  <si>
    <t>RECONOCIMIENTO DEL VALOR Y LA IMPORTANCIA DE LOS ADULTOS PARA EL DESARROLLO SOCIAL</t>
  </si>
  <si>
    <t xml:space="preserve">ADULTOS MAYORES DENTRO DEL PROGRAMA </t>
  </si>
  <si>
    <t>PROGRAMA DE LA CAMPAÑA DE RECONOCIMIENTOS AL ADULTO MAYOR Y RESULTADOS OBTENIDOS.</t>
  </si>
  <si>
    <t>VALORAR Y APROVECHAR LOS CONOCIMIENTOS Y HABILIDADES DEL ADULTO MAYOR</t>
  </si>
  <si>
    <t>PROMOCIÓN DEL ADULTO MAYOR COMO TRANSMISOR DE CONOCIMIENTOS, VALORES Y TRADICIONES.</t>
  </si>
  <si>
    <t>MECANISMOS PARA DISMINUIR LOS ÍNDICES DELICTIVOS EN LA POBLACIÓN</t>
  </si>
  <si>
    <t>GENERAR ESPACIOS EDUCATIVOS CULTURALES Y DEPORTIVOS DE PRIMER NIVEL EN COLONIAS MARGINADAS PARA PROPICIAR EL DESARROLLO INTEGRAL DE LOS JÓVENES.</t>
  </si>
  <si>
    <t>ESPACIOS EDUCATIVOS, CULTURALES Y DEPORTIVOS EN COLONIAS MARGINADAS</t>
  </si>
  <si>
    <t>FUNCIONAMIENTO DE LOS ESPACIOS DEPORTIVOS, CULTURALES Y EDUCATIVOS.</t>
  </si>
  <si>
    <t>GENERAR SEGURIDAD Y CONFIANZA EN LA CIUDADANÍA</t>
  </si>
  <si>
    <t>DISMINUIR LOS ÍNDICES DELICTIVOS EN LA POBLACIÓN</t>
  </si>
  <si>
    <t>PROGRAMAS EDUCATIVOS ENCAMINADOS A LA PREVENCIÓN DEL DELITO Y LAS ADICCIONES.</t>
  </si>
  <si>
    <t>DEMANDA ANÓNIMA.</t>
  </si>
  <si>
    <t>REPORTES RECIBIDOS.</t>
  </si>
  <si>
    <t>DOCUMENTOS DEL SEGUIMIENTO A LAS DENUNCIAS ANÓNIMAS.</t>
  </si>
  <si>
    <t>PROGRAMA DE EDUCACIÓN CIUDADANA ENCAMINADA A LA DISMINUCIÓN DEL DELITO.</t>
  </si>
  <si>
    <t>CAMPAÑA DE DISMINUCIÓN DEL DELITO</t>
  </si>
  <si>
    <t>PROGRAMA Y REPORTE DE ACTIVIDADES.</t>
  </si>
  <si>
    <t>PREVENCIÓN DEL DELITO</t>
  </si>
  <si>
    <t>PROGRAMA QUE ASEGURE LA ADAPTACIÓN SOCIAL DE MENORES IMPLICADOS EN PANDILLERISMO.</t>
  </si>
  <si>
    <t>MENORES IMPLICADOS EN PANDILLERISMO / MENORES EN EL PROGRAMA</t>
  </si>
  <si>
    <t>LISTA DE ASISTENCIA Y SEGUIMIENTO</t>
  </si>
  <si>
    <t>DISMINUIR LOS ÍNDICES DELICTIVOS DE LOS MENORES EN MENORES.</t>
  </si>
  <si>
    <t>PROGRAMAS Y ESTRATEGIAS ENCAMINADAS A LA READAPTACIÓN Y DE CHICOS INVOLUCRADOS EN PANDILLERISMO, ROBOS Y RESIDENCIAS DELICTIVAS.</t>
  </si>
  <si>
    <t>REHABILITACIÓN A PEQUEÑOS INFRACTORES Y SUS FAMILIARES A FIN DE PREPARARLOS PARA SU READAPTACIÓN SOCIAL.</t>
  </si>
  <si>
    <t>FAMILIAS DE PEQUEÑOS INFRACTORES TRABAJANDO EN EL PROGRAMA / TOTAL DE INFRACTORES DETECTADOS.</t>
  </si>
  <si>
    <t>PROGRAMA DE FORTALECIMIENTO FAMILIAR CIUDADANO.</t>
  </si>
  <si>
    <t xml:space="preserve">ACTIVIDADES PROGRAMADAS Y ACTIVIDADES REALIZADAS. </t>
  </si>
  <si>
    <t>PROGRAMA Y REPORTE DOCUMENTADO DE RESULTADOS.</t>
  </si>
  <si>
    <t>SEGURIDAD CIUDADANA</t>
  </si>
  <si>
    <t>COORDINACIÓN CON LOS COMITÉS VECINALES PARA LA PREVENCIÓN DEL DELITO.</t>
  </si>
  <si>
    <t>N° DE COMITÉS INVOLUCRADO / ACCIONES REALIZADAS Y EFICACIA</t>
  </si>
  <si>
    <t>LISTADO DE COLONIAS EN DONDE SE IMPLEMENTÓ. FOTOGRAFÍAS. INFORME DE ACTIVIDADES.</t>
  </si>
  <si>
    <t>GENERAR CONFIANZA ENTRE LOS CIUDADANOS, LOGRANDO SER UNA CIUDAD SEGURA Y TRANQUILA</t>
  </si>
  <si>
    <t>GENERAR CONFIANZA EN LA CIUDADANÍA RESPECTO A SU SEGURIDAD, INFORMANDO E INVOLUCRÁNDOLOS EN LA PREVENCIÓN DEL DELITO.</t>
  </si>
  <si>
    <t>ENLACE DE PREVENCIÓN, REDES DE ASOCIACIONES CIVILES, EMPRESAS E INSTITUCIONES.</t>
  </si>
  <si>
    <t>N° DE ACTORES INVOLUCRADO / ACCIONES REALIZADAS Y EFICACIA</t>
  </si>
  <si>
    <t>PROGRAMA. INFORME DE ACTIVIDADES. FOTOGRAFÍAS.</t>
  </si>
  <si>
    <t>INFORMACIÓN SOBRE ÍNDICES DELICTIVOS  A LA CIUDADANÍA, OPORTUNA Y VERAZ</t>
  </si>
  <si>
    <t>COMPARATIVOS ANUALES DE ÍNDICES DELICTIVOS</t>
  </si>
  <si>
    <t>EVIDENCIA DE SU PUBLICACIÓN.</t>
  </si>
  <si>
    <t>EVALUAR LO PROGRAMADO CONTRA LO ALCANZADO</t>
  </si>
  <si>
    <t>MAYOR CONTROL DE GIROS RESTRINGIDOS.</t>
  </si>
  <si>
    <t>IMPLEMENTAR PROGRAMA</t>
  </si>
  <si>
    <t>PROGRAMA Y EVIDENCIA DE SU APLICACIÓN</t>
  </si>
  <si>
    <t>CREACIÓN DE UNA UNIDAD DE INTELIGENCIA MUNICIPAL</t>
  </si>
  <si>
    <t>UNIDAD DE INTELIGENCIA EN FUNCIONAMIENTO</t>
  </si>
  <si>
    <t>RESULTADOS DEL PROGRAMA</t>
  </si>
  <si>
    <t>SISTEMAS DE MONITOREO REMOTO</t>
  </si>
  <si>
    <t>CÁMARAS DE MONITOREO REMOTO INSTALADAS / CÁMARAS DE MONITOREO REMOTO NECESARIAS.</t>
  </si>
  <si>
    <t>EVIDENCIA DE SU FUNCIONAMIENTO.</t>
  </si>
  <si>
    <t>COMBATE A LA DROGADICCIÓN.</t>
  </si>
  <si>
    <t>PROGRAMAS PREVENTIVOS CONTRA EL USO Y ABUSO DE LAS DROGAS EN INSTITUCIONES EDUCATIVAS.</t>
  </si>
  <si>
    <t>N° DE ESCUELAS INVOLUCRADAS. / N° DE ESTUDIANTES PARTICIPANTES.</t>
  </si>
  <si>
    <t>LISTADO DE ACTIVIDADES. FOTOGRAFÍAS.</t>
  </si>
  <si>
    <t>EVITAR QUE EN LAS INSTITUCIONES EDUCATIVAS, NARCO TIENDITAS O CENTROS DE ENTRETENIMIENTO SE DISTRIBUYA Y VENDA DROGA</t>
  </si>
  <si>
    <t>ESTABLECER PROGRAMAS PARA DETECTAR Y EVITAR EL USO Y CONSUMO DE LAS DROGAS</t>
  </si>
  <si>
    <t>ATENCIÓN PROFESIONALIZADA A VÍCTIMAS DE LAS ADICCIONES</t>
  </si>
  <si>
    <t xml:space="preserve">INFORMACIÓN ACTUALIZADA (CADA AÑO)QUE INDIQUE LA PROPORCIÓN DE LA POBLACIÓN DETECTADA CON ALGÚN TIPO DE ADICCIÓN; </t>
  </si>
  <si>
    <t>ESTUDIO DE LA COBERTURA DEL PROGRAMA</t>
  </si>
  <si>
    <t>MONITOREO Y DETECCIÓN DE CENTROS Y PERSONAS QUE VENDEN DROGA PARA DISMINUIR LA VENTA Y CONSUMO.</t>
  </si>
  <si>
    <t>UBICACIÓN DE LOS PRINCIPALES LUGARES DONDE SE CONSUME. CATÁLOGO</t>
  </si>
  <si>
    <t>ACCIONES REALIZADAS PARA COMBATIR EL NARCOMENUDEO.</t>
  </si>
  <si>
    <t>SEGURIDAD PATRIMONIAL</t>
  </si>
  <si>
    <t>PROCURAR LOS SERVICIOS BÁSICOS EN ZONAS MARGINADAS URBANAS Y RURALES</t>
  </si>
  <si>
    <t>ASENTAMIENTOS HUMANOS QUE CUENTAN CON LOS SERVICIOS BÁSICOS / TOTAL DE ASENTAMIENTOS HUMANOS</t>
  </si>
  <si>
    <t>LISTADO Y EVIDENCIA DE LOS SERVICIOS PROPORCIONADOS A LAS COMUNIDADES</t>
  </si>
  <si>
    <t xml:space="preserve">REGULARIZAR EL MAYOR NÚMERO DE PREDIOS URBANOS Y RÚSTICOS DEL MUNICIPIO, ASÍ COMO PREVENIR LA COMPRA IRREGULAR. </t>
  </si>
  <si>
    <t>PROPORCIONAR INFRAESTRUCTURA Y FACILIDADES PARA LA ADQUISICIÓN DE TERRENOS EN ZONAS CON SERVICIOS.</t>
  </si>
  <si>
    <t>CAMPAÑA DE SEGURIDAD EN ADQUISICIÓN DE TERRENOS.</t>
  </si>
  <si>
    <t>ACTIVIDADES PROGRAMADAS / ACTIVIDADES REALIZADAS Y EFICACIA DE LAS MISMAS</t>
  </si>
  <si>
    <t>DOCUMENTOS QUE DEMUESTREN LA REGULARIZACIÓN DE TERRENOS</t>
  </si>
  <si>
    <t>DESARROLLO COMUNITARIO.</t>
  </si>
  <si>
    <t>CREACIÓN DE CENTROS COMUNITARIOS EN RANCHERÍAS Y DELEGACIONES</t>
  </si>
  <si>
    <t>COMUNIDADES QUE CUENTAN CENTROS / EL TOTAL DE COMUNIDADES.</t>
  </si>
  <si>
    <t>LISTADO DE COMUNIDADES Y EQUIPAMIENTO.</t>
  </si>
  <si>
    <t>SERVICIOS INSTITUCIONALES QUE MITIGUEN LOS EFECTOS DE LA MARGINACIÓN</t>
  </si>
  <si>
    <t>FOMENTAR EL DESARROLLO Y LA CALIDAD DE VIDA EN COLONIAS MARGINADAS</t>
  </si>
  <si>
    <t xml:space="preserve">ATENCIÓN A POBLACIÓN VULNERABLE </t>
  </si>
  <si>
    <t>MECANISMOS DE ATENCIÓN A LA POBLACIÓN VULNERABLE</t>
  </si>
  <si>
    <t>PROGRAMA Y RESULTADOS DOCUMENTADOS.</t>
  </si>
  <si>
    <t>FOMENTAR EL DESARROLLO Y LA CALIDAD DE VIDA EN COLONIAS MARGINADAS PARA PREVENIR CONDUCTAS DELICTIVAS.</t>
  </si>
  <si>
    <t>ÍNDICES DELICTIVOS POR COLONIA</t>
  </si>
  <si>
    <t>EVIDENCIA DE LA REDUCCIÓN DE ÍNDICES DELICTIVOS</t>
  </si>
  <si>
    <t>REFUGIOS TEMPORALES EN SITUACIONES ESPECÍFICAS.</t>
  </si>
  <si>
    <t>REFUGIOS TEMPORALES EXISTENTES</t>
  </si>
  <si>
    <t>LISTADO DE REFUGIOS, INVENTARIO Y REPORTE DE SU UTILIZACIÓN</t>
  </si>
  <si>
    <t>EMPLEO PARA TODOS.</t>
  </si>
  <si>
    <t>PROGRAMA PARA LA SENSIBILIZACIÓN A LAS INSTITUCIONES Y EMPRESAS PARA LOGRAR LA IGUALDAD DE CONTRATACIÓN DE HOMBRES Y MUJERES.</t>
  </si>
  <si>
    <t>N° DE EMPRESAS CONTACTADAS  / TOTAL DE EMPRESAS</t>
  </si>
  <si>
    <t>FORTALECER LA CREACIÓN DE EMPLEOS PARA AMPLIAR LA OFERTA LABORA</t>
  </si>
  <si>
    <t>FOMENTAR Y PROMOVER AL MÁXIMO EL CRECIMIENTO Y DESARROLLO ECONÓMICO DEL MUNICIPIO, IMPULSÁNDOLO EQUILIBRADAMENTE SOBRE BASES SUSTENTABLES</t>
  </si>
  <si>
    <t>PROGRAMA DE INCLUSIÓN DE ADULTOS MAYORES EN EL ÁMBITO LABORAL.</t>
  </si>
  <si>
    <t xml:space="preserve">ADULTOS MAYORES TRABAJANDO / EL TOTAL DE ADULTOS MAYORES NECESITADOS. </t>
  </si>
  <si>
    <t>TALLERES PRODUCTIVOS PARA PERSONAS MAYORES.</t>
  </si>
  <si>
    <t xml:space="preserve">LISTADO CON INFORMACIÓN ACTUALIZADA (CADA 1 AÑO) DE LA CANTIDAD Y SITUACIÓN NECESITADA DE LOS ADULTOS EN PLENITUD. </t>
  </si>
  <si>
    <t>REPORTE DE ACTIVIDADES DONDE SE INDIQUE QUE AL MENOS EL 50% SON ATENDIDOS</t>
  </si>
  <si>
    <t>REGULACIÓN SALARIAL</t>
  </si>
  <si>
    <t/>
  </si>
  <si>
    <t>PROGRAMAS DE EMPLEO A PERSONAS MARGINADAS.</t>
  </si>
  <si>
    <t>PROGRAMA DE EMPLEO DIRIGIDO ESPECIALMENTE A ZONAS MARGINADAS.</t>
  </si>
  <si>
    <t>PROGRAMAS Y APOYOS A MADRES TRABAJADORAS.</t>
  </si>
  <si>
    <t>POBLACIÓN OBJETIVO Y POBLACIÓN ATENDIDA</t>
  </si>
  <si>
    <t>PROGRAMA CON RESULTADOS DOCUMENTADOS.</t>
  </si>
  <si>
    <t>PROGRAMAS PRODUCTIVOS COMUNITARIOS EN COLONIAS Y DELEGACIONES.</t>
  </si>
  <si>
    <t>TALLERES COMUNITARIOS / PERSONAS CAPACITÁNDOSE</t>
  </si>
  <si>
    <t>ESCUELA DE ARTES Y OFICIOS EN DELEGACIONES Y COLONIAS MARGINADAS.</t>
  </si>
  <si>
    <t>CENTROS DE ARTES Y OFICIOS EN EL MUNICIPIO / PERSONAS ATENDIDAS</t>
  </si>
  <si>
    <t>PREVENIR FUTUROS PROBLEMAS</t>
  </si>
  <si>
    <t>PROGRAMA DE PREVENCIÓN EN CASO DE REGRESO DE EMIGRANTES.</t>
  </si>
  <si>
    <t>SE CUENTA CON UN PLAN DE CONTINGENCIAS SUSTENTADO Y APLICABLE.</t>
  </si>
  <si>
    <t>DOCUMENTO DEL PLAN.</t>
  </si>
  <si>
    <t>PLAN DE CONTINGENCIAS  EN CASO DE PRESENTARSE UN REGRESO MASIVO DE TRABAJADORES INDOCUMENTADOS DE LOS ESTADOS UNIDOS.</t>
  </si>
  <si>
    <t>GENERAR UN PLAN DE CONTINGENCIAS QUE ASEGURE TRABAJO, VIVIENDA Y EDUCACIÓN A INMIGRANTES.</t>
  </si>
  <si>
    <t>SEGURIDAD ALIMENTARIA</t>
  </si>
  <si>
    <t>PROPICIAR CAMPAÑAS PARA EL CONSUMO DE ALIMENTOS BALANCEADOS.</t>
  </si>
  <si>
    <t>PROGRAMA DE SEGURIDAD ALIMENTARIA</t>
  </si>
  <si>
    <t>REPORTE DE ACTIVIDADES</t>
  </si>
  <si>
    <t>COADYUVAR A LA SEGURIDAD ALIMENTARIA EN EL MUNICIPIO</t>
  </si>
  <si>
    <t xml:space="preserve">CONSOLIDAR MECANISMOS QUE APOYEN LA TANTO LA SEGURIDAD ALIMENTARIA COMO LA CALIDAD DE LA ALIMENTACIÓN EN LA COMUNIDAD. </t>
  </si>
  <si>
    <t>CULTURA PARA TODOS</t>
  </si>
  <si>
    <t>ASIGNAR PRESUPUESTO PARA AMPLIAR LA COBERTURA CULTURAL Y ARTÍSTICA. (MAESTROS).</t>
  </si>
  <si>
    <t xml:space="preserve">PRESUPUESTO  ACTUALIZADO (CADA 1 AÑO) DEL RECURSO DESTINADO A LA PROMOCIÓN DEL ARTE Y LA CULTURA. </t>
  </si>
  <si>
    <t>INCREMENTO DE EVENTOS TALLERES Y CENTROS DE FORMACIÓN ARTÍSTICA</t>
  </si>
  <si>
    <t>IMPULSAR Y PROMOVER EL DESARROLLO DE LA CULTURA EN NUESTRO MUNICIPIO.</t>
  </si>
  <si>
    <t>PROMOVER Y ESTIMULAR LA REALIZACIÓN DE EVENTOS ARTÍSTICOS Y AMPLIAR LA OFERTA CULTURAL EN EL MUNICIPIO Y LAS DELEGACIONES.</t>
  </si>
  <si>
    <t>CREACIÓN DE ESPACIOS CULTURALES EN CABECERA Y DELEGACIONES.</t>
  </si>
  <si>
    <t>INVENTARIO ACTUALIZADO (UN AÑO) DE LOS ESPACIOS CULTURALES</t>
  </si>
  <si>
    <t>INCREMENTO DE ESPACIOS CULTURALES.</t>
  </si>
  <si>
    <t>PROPICIAR SITIOS DE ENCUENTRO DE EXPRESIÓN CULTURAL.</t>
  </si>
  <si>
    <t>SE CUENTA CON UNA INSTANCIA RESPONSABLE Y EXISTEN PROGRAMAS PARA PROPICIAR SITIOS DE ENCUENTRO Y EXPRESIÓN.</t>
  </si>
  <si>
    <t>INVENTARIO DE LOS SITIOS Y ACTIVIDADES CULTURALES REALIZADOS EN CADA UNO DE ELLOS.</t>
  </si>
  <si>
    <t>INCENTIVAR EL ARTE Y LA CULTURA</t>
  </si>
  <si>
    <t>PROMOVER EL DESARROLLO DE PERSONAS CON CAPACIDADES ARTÍSTICAS.</t>
  </si>
  <si>
    <t>INVENTARIO DE PERSONAS CON CAPACIDADES ARTÍSTICAS POR ACTIVIDAD</t>
  </si>
  <si>
    <t>LISTADO DE PERSONAS QUE SE ESTÁN ESPECIALIZANDO.</t>
  </si>
  <si>
    <t>PROMOVER EL ARTE Y LA CULTURA</t>
  </si>
  <si>
    <t>INCENTIVAR A PERSONAS CON CAPACIDADES ARTÍSTICAS PARA PROPICIAR SU FORMACIÓN PROFESIONAL.</t>
  </si>
  <si>
    <t>CREACIÓN DEL CENTRO DE FORMACIÓN PARA EL DESARROLLO CULTURAL.</t>
  </si>
  <si>
    <t>CENTRO DE FORMACIÓN</t>
  </si>
  <si>
    <t>REPORTE DE ACTIVIDADES.</t>
  </si>
  <si>
    <t>PROGRAMA DE BECAS CULTURALES.</t>
  </si>
  <si>
    <t>BECAS CULTURALES SOLICITADAS / BECAS OTORGADAS</t>
  </si>
  <si>
    <t>PROMOVER LA CAPACITACIÓN CULTURAL Y ARTÍSTICA EN LAS NUEVAS GENERACIONES.</t>
  </si>
  <si>
    <t>TALLERES DE CAPACITACIÓN Y PROMOCIÓN / PERSONAS ASISTENTES.</t>
  </si>
  <si>
    <t>PROGRAMA DE ACTIVIDADES Y RESULTADOS DOCUMENTADOS.</t>
  </si>
  <si>
    <t>SUBSIDIARIEDAD CULTURAL</t>
  </si>
  <si>
    <t>APROVECHAR LOS CONOCIMIENTOS CULTURALES DE LAS PERSONAS MAYORES PARA EL RESCATE DE ARTES U OFICIOS.</t>
  </si>
  <si>
    <t>TALLERES DE ARTES Y OFICIOS IMPARTIDOS POR ADULTOS MAYORES / ASISTENTES A LOS TALLERES.</t>
  </si>
  <si>
    <t xml:space="preserve">RESCATE DE ARTES Y OFICIOS. </t>
  </si>
  <si>
    <t>ESCUELA DE OFICIOS DE TRANSMISIÓN CULTURAL.</t>
  </si>
  <si>
    <t>TALLERES DE TRANSMISIÓN CULTURAL / PERSONAS ASISTIENDO</t>
  </si>
  <si>
    <t>PROMOVER EL SERVICIO SOCIAL DE LOS JÓVENES MAYORES QUE ENSEÑEN A LOS NIÑOS Y ADOLESCENTES.</t>
  </si>
  <si>
    <t>JÓVENES PARTICIPANDO EN EL PROGRAMA / NIÑOS Y ADOLESCENTES BENEFICIADOS</t>
  </si>
  <si>
    <t>LISTADO DE TALLERES MAESTROS Y ALUMNOS.</t>
  </si>
  <si>
    <t>PROMOCIÓN DE LOS PRODUCTOS GENERADOS EN LOS TALLERES</t>
  </si>
  <si>
    <t>COMERCIALIZACIÓN DE PRODUCTOS GENERADOS EN TALLERES</t>
  </si>
  <si>
    <t>PROGRAMA CULTURAL DE ACEPTACIÓN Y CONVIVENCIA CON PERSONAS DISCAPACITADAS.</t>
  </si>
  <si>
    <t>PROGRAMA</t>
  </si>
  <si>
    <t>RESULTADOS DE SU APLICACIÓN.</t>
  </si>
  <si>
    <t>PROMOCIÓN Y DIFUSIÓN DEL ARTE Y LA CULTURA</t>
  </si>
  <si>
    <t>PROPICIAR LA SENSIBILIZACIÓN CULTURAL EN INSTITUCIONES EDUCATIVAS Y DARLE SEGUIMIENTO.</t>
  </si>
  <si>
    <t>TALLERES DE SENSIBILIZACIÓN EN INSTITUCIONES EDUCATIVAS / NIÑOS QUE CONTINÚAN SU FORMACIÓN CULTURAL</t>
  </si>
  <si>
    <t>EVIDENCIA DE SU APLICACIÓN Y SEGUIMIENTO.</t>
  </si>
  <si>
    <t>INCREMENTAR LA OFERTA CULTURAL EN EL MUNICIPIO</t>
  </si>
  <si>
    <t>PROCURAR ACTIVIDADES CULTURALES PARA TODOS LOS GUSTOS Y EDADES.</t>
  </si>
  <si>
    <t>INCREMENTAR PROGRAMAS CULTURALES ADAPTADOS A LAS DIFERENTES EDADES.</t>
  </si>
  <si>
    <t xml:space="preserve">INVENTARIO ACTUALIZADO  (UN AÑO) DE PROGRAMAS CULTURALES PARA CADA EDAD </t>
  </si>
  <si>
    <t>PROGRAMA DE TRABAJO Y REPORTE DE ACTIVIDADES.</t>
  </si>
  <si>
    <t>PROMOVER CAPACITADORES EN ARTE Y CULTURA.</t>
  </si>
  <si>
    <t>MAESTROS ESPECIALIZADOS / TOTAL DE MAESTROS</t>
  </si>
  <si>
    <t>LISTADO DE MAESTROS Y EVIDENCIA DE SUS CAPACITACIONES.</t>
  </si>
  <si>
    <t>REALIZAR FESTIVALES CULTURALES DIRIGIDOS A NIÑOS Y PERSONAS MAYORES.</t>
  </si>
  <si>
    <t>FESTIVALES REALIZADOS PARA CADA GRUPO DE EDAD / PERSONAS PARTICIPANTES.</t>
  </si>
  <si>
    <t>FERIAS ARTESANALES</t>
  </si>
  <si>
    <t>FERIAS ARTESANALES REALIZADAS / PROGRAMADAS</t>
  </si>
  <si>
    <t>DEPORTE EN TU LOCALIDAD.</t>
  </si>
  <si>
    <t>PROGRAMAS DEPORTIVOS EN LAS COLONIAS Y DELEGACIONES.</t>
  </si>
  <si>
    <t xml:space="preserve">INCREMENTO DE CENTROS RECREATIVOS </t>
  </si>
  <si>
    <t>PROMOVER EL DEPORTE Y LA  RECREACIÓN EN TODOS LOS GRUPOS DE EDAD</t>
  </si>
  <si>
    <t>GENERAR MAS CENTROS Y EVENTOS DEPORTIVOS, BUSCANDO MECANISMOS PARA MEJORAR SU COBERTURA Y LA INTEGRACIÓN DE MÁS PERSONAS A LOS PROGRAMAS DEPORTIVOS.</t>
  </si>
  <si>
    <t>FIESTAS ATLÉTICAS EN RANCHERÍAS Y DELEGACIONES.</t>
  </si>
  <si>
    <t>FIESTAS ATLÉTICAS REALIZADAS / PARTICIPANTES POR LOCALIDAD</t>
  </si>
  <si>
    <t>COMPARATIVO ANUAL DEL INCREMENTO DE ESTAS ACTIVIDADES.</t>
  </si>
  <si>
    <t>PROGRAMAS DEPORTIVOS ENFOCADOS A LA NIÑEZ</t>
  </si>
  <si>
    <t>PROGRAMAS DEPORTIVOS PARA NIÑOS / NIÑOS ASISTIENDO (POBLACIÓN OBJETIVO Y PARTICIPANTES)</t>
  </si>
  <si>
    <t>PROGRAMAS DEPORTIVOS PARA LA TERCERA EDAD.</t>
  </si>
  <si>
    <t>PROGRAMAS DEPORTIVOS PARA ADULTOS MAYORES / ADULTOS PARTICIPANDO  (POBLACIÓN OBJETIVO Y PARTICIPANTES)</t>
  </si>
  <si>
    <t>IMPULSO DEPORTIVO</t>
  </si>
  <si>
    <t>DESARROLLAR PROGRAMAS DE PROFESIONALIZACIÓN A EQUIPOS DEPORTIVOS.</t>
  </si>
  <si>
    <t>EQUIPOS DEPORTIVOS PROFESIONALES</t>
  </si>
  <si>
    <t>IMPULSAR EL DEPORTE DE ALTO RENDIMIENTO</t>
  </si>
  <si>
    <t>DESARROLLAR PROGRAMAS PARA LA PROFESIONALIZACIÓN DEL DEPORTE.</t>
  </si>
  <si>
    <t>PROMOVER A LOS DEPORTISTAS DE ALTO RENDIMIENTO.</t>
  </si>
  <si>
    <t>DEPORTISTAS DE ALTO RENDIMIENTO / TOTAL DE DEPORTISTAS</t>
  </si>
  <si>
    <t>PROGRAMA PARA DETECTAR TALENTOS DEPORTIVOS EN ESCUELAS Y COMUNIDADES.</t>
  </si>
  <si>
    <t>INVENTARIO ACTUALIZADO AÑO INTERIOR DEL NÚMERO DE DEPORTISTAS TALENTOSOS DETECTADOS.</t>
  </si>
  <si>
    <t>PROFESIONALIZACIÓN DEL DEPORTE EN LAS ESCUELAS.</t>
  </si>
  <si>
    <t>ESCUELAS DONDE SE DESARROLLA EL PROGRAMA DEPORTIVO DE ALTO RENDIMIENTO /TOTAL DE ESCUELAS.</t>
  </si>
  <si>
    <t>BECAS A DEPORTISTAS DESTACADOS.</t>
  </si>
  <si>
    <t>POBLACIÓN OBJETIVO Y  BECAS OTORGADAS</t>
  </si>
  <si>
    <t>ACTIVACIÓN DEPORTIVA.</t>
  </si>
  <si>
    <t>AMPLIAR OFERTA DEPORTIVA.</t>
  </si>
  <si>
    <t>DISCIPLINAS DEPORTIVAS NUEVAS / TOTAL DE DISCIPLINAS DEPORTIVAS APOYADAS.</t>
  </si>
  <si>
    <t>MEJORAR LA SALUD FÍSICA DE LA POBLACIÓN.</t>
  </si>
  <si>
    <t>IMPLEMENTAR PROGRAMAS DE ACTIVACIÓN DEPORTIVA.</t>
  </si>
  <si>
    <t>ACTIVACIÓN DEPORTIVA EN ADULTOS.</t>
  </si>
  <si>
    <t>POBLACIÓN OBJETIVO Y PARTICIPANTES</t>
  </si>
  <si>
    <t>LISTADO DE PERSONAS INTEGRADAS AL PROGRAMA DE ACTIVACIÓN FÍSICA.</t>
  </si>
  <si>
    <t>RECREACIÓN Y ESPARCIMIENTO</t>
  </si>
  <si>
    <t>FOMENTO DE LA RECREACIÓN EN LOS JÓVENES.</t>
  </si>
  <si>
    <t>PROMOVER, DIFUNDIR Y DESARROLLAR LA PRÁCTICA DEL DEPORTE.</t>
  </si>
  <si>
    <t>FOMENTAR LA RECREACIÓN EN TODOS LOS GRUPOS DE EDAD.</t>
  </si>
  <si>
    <t>TALLERES OCUPACIONALES PARA PERSONAS MAYORES COMO PARTE DE LA RECREACIÓN.</t>
  </si>
  <si>
    <t>TALLERES OCUPACIONALES /PARTICIPANTES</t>
  </si>
  <si>
    <t>QUE EL MUNICIPIO CUENTE CON UN ÁREA RESPONSABLE DE PROMOVER LA RECREACIÓN.</t>
  </si>
  <si>
    <t>ÁREA RESPONSABLE DE LA RECREACIÓN</t>
  </si>
  <si>
    <t>ORGANIGRAMA</t>
  </si>
  <si>
    <t>BÚSQUEDA DE ALTERNATIVAS DEPORTIVAS</t>
  </si>
  <si>
    <t>EXPLOTAR ZONAS ECO TURÍSTICAS PARA IMPULSAR LOS DEPORTES DE MONTAÑA, CAMPISMO, ALPINISMO, ETC.</t>
  </si>
  <si>
    <t>DISCIPLINAS DEPORTIVAS INCORPORADAS / TOTAL DE DISCIPLINAS DEPORTIVAS.</t>
  </si>
  <si>
    <t>AMPLIAR LA OFERTA DEPORTIVA PARA ALCANZAR MAS COBERTURA</t>
  </si>
  <si>
    <t>BÚSQUEDA DE ALTERNATIVAS DEPORTIVAS, MAESTROS E INSTALACIONES NUEVOS.</t>
  </si>
  <si>
    <t>ORDENAMIENTO TERRITORIAL</t>
  </si>
  <si>
    <t>DEFINIR VOCACIONAMIENTOS MUNICIPALES.</t>
  </si>
  <si>
    <t>ESTUDIO DE VOCACIONAMIENTO</t>
  </si>
  <si>
    <t>DOCUMENTO</t>
  </si>
  <si>
    <t>DEFINIR VOCACIONAMIENTO PARA EL MUNICIPIO Y PLANTEAR ALTERNATIVAS DE DESARROLLO</t>
  </si>
  <si>
    <t>IDENTIFICAR LAS NECESIDADES BÁSICAS DE ACUERDO AL VOCACIONAMIENTO PARA EFICIENTAR EL DESARROLLO DEL MUNICIPIO</t>
  </si>
  <si>
    <t>IDENTIFICAR NECESIDADES BÁSICAS PARA LOS VOCACIONAMIENTOS</t>
  </si>
  <si>
    <t>LISTADO DE NECESIDADES BÁSICAS</t>
  </si>
  <si>
    <t>ACCIONES ENCAMINADAS A LA SOLUCIÓN DE NECESIDADES.</t>
  </si>
  <si>
    <t>PLAN MAESTRO MUNICIPAL CON VISIÓN A 50 AÑOS</t>
  </si>
  <si>
    <t>GENERACIÓN EL PLAN MAESTRO</t>
  </si>
  <si>
    <t>APLICACIÓN DEL PLAN Y ACCIONES REALIZADAS.</t>
  </si>
  <si>
    <t>REGLAMENTACIÓN URBANA</t>
  </si>
  <si>
    <t xml:space="preserve">ACTUALIZAR EL PLAN DE DESARROLLO URBANO CENTRO DE POBLACIÓN DE CAPILLA DE GUADALUPE. </t>
  </si>
  <si>
    <t>ACTUALIZAR EL DOCUMENTO</t>
  </si>
  <si>
    <t>DOCUMENTO APROBADO POR CABILDO Y EN VIGOR / EVIDENCIA DE SU APLICACIÓN.</t>
  </si>
  <si>
    <t>CONTAR CON REGLAMENTOS CLAROS Y VIGENTES</t>
  </si>
  <si>
    <t>ACTUALIZAR NORMATIVIDADES BÁSICAS PARA EL DESARROLLO URBANO Y RURAL DEL MUNICIPIO</t>
  </si>
  <si>
    <t>ACTUALIZAR EL PLAN PARCIAL DEL CENTRO HISTÓRICO.</t>
  </si>
  <si>
    <t>ACTUALIZAR EL PLAN MUNICIPAL DE ORDENAMIENTO ECOLÓGICO</t>
  </si>
  <si>
    <t>ACTUALIZAR EL ATLAS DE RIESGO MUNICIPAL</t>
  </si>
  <si>
    <t>ACTUALIZAR EL REGLAMENTO DE IMAGEN URBANA.</t>
  </si>
  <si>
    <t>ACTUALIZAR EL REGLAMENTO DE OBRA PÚBLICA</t>
  </si>
  <si>
    <t>ELABORAR EL PROGRAMA MUNICIPAL DE DESARROLLO URBANO</t>
  </si>
  <si>
    <t>ELABORAR EL DOCUMENTO</t>
  </si>
  <si>
    <t>ELABORACIÓN DE MANUALES DE PROCEDIMIENTOS Y CRITERIOS TÉCNICOS PARA URBANIZACIÓN</t>
  </si>
  <si>
    <t>ELABORAR MANUALES</t>
  </si>
  <si>
    <t>MANUALES APROBADOS Y EN USO</t>
  </si>
  <si>
    <t>APLICAR NORMATIVIDAD ESTABLECIDA PARA ASEGURAR EL CRECIMIENTO SUSTENTABLE DE LA POBLACIÓN</t>
  </si>
  <si>
    <t>APLICAR EL PLAN DE DESARROLLO URBANO CENTRO DE POBLACIÓN DE TEPATITLÁN</t>
  </si>
  <si>
    <t>SE CUENTA CON REGLAMENTACIÓN MUNICIPAL EN LA MATERIA Y SE APLICA.</t>
  </si>
  <si>
    <t>EVIDENCIA DE SU APLICACIÓN</t>
  </si>
  <si>
    <t>APLICAR EL PLAN DE DESARROLLO URBANO CENTRO DE POBLACIÓN DE CAPILLA DE MILPILLAS</t>
  </si>
  <si>
    <t>APLICAR EL PLAN DE DESARROLLO URBANO CENTRO DE POBLACIÓN DE MEZCALA.</t>
  </si>
  <si>
    <t>APLICAR EL PLAN DE DESARROLLO URBANO CENTRO DE POBLACIÓN DE TECOMATLÁN.</t>
  </si>
  <si>
    <t>APLICAR EL PLAN DE DESARROLLO URBANO CENTRO DE POBLACIÓN DE OJO DE AGUA DE LATILLAS.</t>
  </si>
  <si>
    <t>APLICAR EL PLAN DE DESARROLLO URBANO CENTRO DE POBLACIÓN DE SAN JOSÉ DE BAZARTE.</t>
  </si>
  <si>
    <t>APLICAR EL REGLAMENTO DE CONSTRUCCIÓN MUNICIPAL.</t>
  </si>
  <si>
    <t>APLICAR EL PREPARAR EL PROGRAMA MUNICIPAL DE DESARROLLO URBANO.</t>
  </si>
  <si>
    <t>DEFINICIÓN DE LOS LÍMITES TERRITORIALES DEL MUNICIPIO.</t>
  </si>
  <si>
    <t>DEFINICIÓN DE LÍMITES</t>
  </si>
  <si>
    <t>GENERAR PLANES Y PROGRAMAS ENCAMINADOS A MEJORAR LA CALIDAD DE VIDA DEL MUNICIPIO.</t>
  </si>
  <si>
    <t>GENERAR PLANES PARCIALES DE CENTRO DE POBLACIÓN DE LA CABECERA MUNICIPAL</t>
  </si>
  <si>
    <t>AVANCE PROGRAMADO CONTRA LO ALCANZADO</t>
  </si>
  <si>
    <t>GENERAR REGLAMENTO MUNICIPAL DE ZONIFICACIÓN.</t>
  </si>
  <si>
    <t>GENERAR VENTANILLA ÚNICA DE TRÁMITES</t>
  </si>
  <si>
    <t>GENERAR OBSERVATORIO URBANO.</t>
  </si>
  <si>
    <t>GENERAR CONSEJO CIUDADANO DE DESARROLLO URBANO Y VIVIENDA.</t>
  </si>
  <si>
    <t>GENERAR SISTEMA DE INFORMACIÓN GEOGRÁFICA MUNICIPAL.</t>
  </si>
  <si>
    <t>USOS Y RESERVAS</t>
  </si>
  <si>
    <t>DIAGNÓSTICO PARA IDENTIFICAR Y PLASMAR EN PLANES LAS NECESIDADES PRESENTES Y FUTURAS (USOS Y RESERVAS) DE USO URBANO, RURAL Y ECONÓMICO.</t>
  </si>
  <si>
    <t>DOCUMENTO TERMINADO Y EVIDENCIAS DE SU APLICACIÓN</t>
  </si>
  <si>
    <t>ALCANZAR UN DESARROLLO URBANO Y RURAL SUSTENTABLE.</t>
  </si>
  <si>
    <t>IDENTIFICAR LAS NECESIDADES PRESENTES Y FUTURAS (USOS Y RESERVAS) DE USO URBANO, RURAL Y ECONÓMICO.</t>
  </si>
  <si>
    <t>ACTUALIZACIÓN DEL CATASTRO DE CAPILLA DE MILPILLAS Y MEZCALA.</t>
  </si>
  <si>
    <t>PORCENTAJE DE ACTUALIZACIÓN</t>
  </si>
  <si>
    <t>PLAN DE TRABAJO Y REPORTE DE ACTIVIDADES</t>
  </si>
  <si>
    <t>DIAGNÓSTICO DE LA SITUACIÓN DE LAS PLANTAS POTABILIZADORAS.</t>
  </si>
  <si>
    <t>ESTUDIO REAL DE LAS CONDICIONES DE LAS LÍNEAS DE CONDUCCIÓN DEL AGUA.</t>
  </si>
  <si>
    <t>ANALIZAR EL ESTADO DE LAS FUENTES DE SUMINISTRO DE AGUA, SUPERFICIALES Y SUBTERRÁNEAS</t>
  </si>
  <si>
    <t>ESTUDIO DE LA COBERTURA DEL DRENAJE, Y LA CONSTRUCCIÓN DE COLECTORES.</t>
  </si>
  <si>
    <t>ESTUDIO</t>
  </si>
  <si>
    <t>SUSPENSIÓN DE DESCARGAS SANITARIAS CLANDESTINAS</t>
  </si>
  <si>
    <t>DESCARGAS ELIMINADAS / DESCARGAS TOTALES</t>
  </si>
  <si>
    <t>PROGRAMA DE ACTIVIDADES Y RESULTADOS DOCUMENTADOS</t>
  </si>
  <si>
    <t>CONSTRUCCIÓN Y ADECUACIÓN DE PLANTAS DE TRATAMIENTO DE AGUAS RESIDUALES EN LA CABECERA Y DELEGACIONES</t>
  </si>
  <si>
    <t>PLANTAS CONSTRUIDAS / PLANTAS NECESARIAS</t>
  </si>
  <si>
    <t>EVIDENCIA DE SU FUNCIONAMIENTO</t>
  </si>
  <si>
    <t>GRADO DE COBERTURA DE LOS SERVICIOS ELÉCTRICOS EN CABECERA, DELEGACIONES Y RANCHERÍAS.</t>
  </si>
  <si>
    <t>ESTUDIO DE COBERTURA.</t>
  </si>
  <si>
    <t>EVIDENCIA DE ACCIONES PARA AUMENTAR COBERTURA</t>
  </si>
  <si>
    <t>EFICACIA EN LA PRESTACIÓN DE SERVICIOS PÚBLICOS.</t>
  </si>
  <si>
    <t>PORCENTAJE DE COBERTURA DE LOS SERVICIOS</t>
  </si>
  <si>
    <t>PLAN DE MEJORA Y EVIDENCIA DE ACCIONES REALIZADAS.</t>
  </si>
  <si>
    <t>DIAGNÓSTICO DE NECESIDADES DE ESPACIOS VERDES EN EL MUNICIPIO.</t>
  </si>
  <si>
    <t>ESPACIO DE ÁREA VERDE POR HABITANTE.</t>
  </si>
  <si>
    <t>COMPARATIVO DE MEJORA.</t>
  </si>
  <si>
    <t>URBIS</t>
  </si>
  <si>
    <t>PLANTAS POTABILIZADORAS.</t>
  </si>
  <si>
    <t>NECESARIAS / EXISTENTES</t>
  </si>
  <si>
    <t>PLANTAS POTABILIZADORAS CON CAPACIDAD PARA POTABILIZAR EL 100% DEL AGUA DE CONSUMO.</t>
  </si>
  <si>
    <t>PROPORCIONAR LA INFRAESTRUCTURA BÁSICA URBANA.</t>
  </si>
  <si>
    <t>ESTUDIO DE LAS NECESIDADES FUTURAS (RESERVA) EN INFRAESTRUCTURA BÁSICA Y URBANA.</t>
  </si>
  <si>
    <t>LÍNEAS DE CONDUCCIÓN.</t>
  </si>
  <si>
    <t>DIAGNÓSTICO DEL ESTADO DE LAS LÍNEAS DE CONDUCCIÓN</t>
  </si>
  <si>
    <t>PLAN DE MEJORA Y ACCIONES DOCUMENTADAS</t>
  </si>
  <si>
    <t>FUENTES DE SUMINISTRO SUPERFICIALES Y SUBTERRÁNEAS</t>
  </si>
  <si>
    <t>ESTUDIO DEL ABASTO DE LAS FUENTES DE SUMINISTRO</t>
  </si>
  <si>
    <t>ACCIONES PARA ASEGURAR LA SUSTENTABILIDAD DEL AGUA.</t>
  </si>
  <si>
    <t>ACCIONES DE MEJORA DOCUMENTADAS</t>
  </si>
  <si>
    <t>DIAGNÓSTICO DE LAS PLANTAS NECESARIAS / EXISTENTES</t>
  </si>
  <si>
    <t>PLANTAS TRATADORAS CON CAPACIDAD PARA TRATAR MÁS DEL 85% DEL AGUA RESIDUAL.</t>
  </si>
  <si>
    <t>ELECTRICIDAD</t>
  </si>
  <si>
    <t>ESTUDIO DE LA COBERTURA DE ELECTRICIDAD</t>
  </si>
  <si>
    <t>ESPACIOS VERDES</t>
  </si>
  <si>
    <t>METROS CUADRADOS POR HABITANTE.</t>
  </si>
  <si>
    <t>GESTIÓN PARA LA OBTENCIÓN DE LA DETERMINACIÓN POR PARTE DE CNA DE SERVIDUMBRE FEDERAL EN ARROYOS Y RÍOS</t>
  </si>
  <si>
    <t>CONSTANCIAS DEL OTORGAMIENTO DE LA SERVIDUMBRE</t>
  </si>
  <si>
    <t>EQUIPAMIENTO EDUCATIVO</t>
  </si>
  <si>
    <t>NECESARIO / EXISTENTE</t>
  </si>
  <si>
    <t>ACCIONES DE MEJORA</t>
  </si>
  <si>
    <t>EQUIPAMIENTO CULTURAL</t>
  </si>
  <si>
    <t>EQUIPAMIENTO RECREATIVO</t>
  </si>
  <si>
    <t>EQUIPAMIENTO ADMINISTRATIVO</t>
  </si>
  <si>
    <t>EQUIPAMIENTO HABITACIONAL</t>
  </si>
  <si>
    <t>EQUIPAMIENTO DE SALUD</t>
  </si>
  <si>
    <t>ACTIVIDADES DIRIGIDAS A PROMOCIÓN DE LA VIVIENDA</t>
  </si>
  <si>
    <t>N° DE VIVIENDAS PROMOVIDAS/ NECESARIAS</t>
  </si>
  <si>
    <t>DOCUMENTO QUE AVALE LA PROMOCIÓN DE LA VIVIENDA.</t>
  </si>
  <si>
    <t>EQUIPAMIENTO DEPORTIVO</t>
  </si>
  <si>
    <t>CREMATORIO MUNICIPAL</t>
  </si>
  <si>
    <t>PROYECTO DEL CREMATORIO</t>
  </si>
  <si>
    <t>RECURSOS, INFRAESTRUCTURA, % DE AVANCE</t>
  </si>
  <si>
    <t>BUSCAR LA CERTIFICACIÓN DEL RASTRO TIPO TIF</t>
  </si>
  <si>
    <t>INFRAESTRUCTURA NECESARIA / LA EXISTENTE</t>
  </si>
  <si>
    <t>PROGRAMA DE ACCIONES Y RESULTADOS DOCUMENTADOS.</t>
  </si>
  <si>
    <t>COLABORAR EN LA CONSTRUCCIÓN DE CENTRO DE SALUD Y RESCATE DEL ACTUAL</t>
  </si>
  <si>
    <t>DESARROLLO PRODUCTIVO.</t>
  </si>
  <si>
    <t>TEPATITLÁN REQUIERE DE UN CENTRO DE CONVENCIONES</t>
  </si>
  <si>
    <t>% DE AVANCE</t>
  </si>
  <si>
    <t>PROYECTO, FINANCIAMIENTO Y PERMISO DE CONSTRUCCIÓN DE CONSTRUCCIÓN.</t>
  </si>
  <si>
    <t>GESTIONAR INFRAESTRUCTURA PRODUCTIVA PARA EL MUNICIPIO DE TEPATITLÁN</t>
  </si>
  <si>
    <t>PROYECTAR Y EJECUTAR OBRAS DE EQUIPAMIENTO URBANO, CULTURAL, DEPORTIVO, PRODUCTIVO Y DE RECREACIÓN.</t>
  </si>
  <si>
    <t>CONSTRUCCIÓN DE CENTROS DE RETIRO PARA ADULTOS MAYORES.</t>
  </si>
  <si>
    <t>GESTIONES</t>
  </si>
  <si>
    <t>CONSTRUCCIÓN</t>
  </si>
  <si>
    <t>CONSTRUCCIÓN DE UN CENTRO DE VALOR AGREGADO.</t>
  </si>
  <si>
    <t>CONSTRUCCIÓN DEL MERCADO DE ABASTOS.</t>
  </si>
  <si>
    <t>INFRAESTRUCTURA NECESARIA PARA EL FUNCIONAMIENTO DE UN CORREDOR INDUSTRIAL.</t>
  </si>
  <si>
    <t>PROYECTO, FINANCIAMIENTO Y PERMISO DE CONSTRUCCIÓN.</t>
  </si>
  <si>
    <t>COBERTURA DE ESPACIOS VERDES DE CALIDAD</t>
  </si>
  <si>
    <t>EL MUNICIPIO REQUIERE MÁS ESPACIOS RECREATIVOS.</t>
  </si>
  <si>
    <t>M2 DE ÁREAS VERDES POR HABITANTE / LOS M2 NECESARIOS.</t>
  </si>
  <si>
    <t>DETECTAR NECESIDADES ECOLÓGICAS DEL MUNICIPIO Y PROYECTAR LAS ACCIONES NECESARIAS PARA SU SUSTENTABILIDAD.</t>
  </si>
  <si>
    <t>CONSERVACIÓN DE ZONAS FORESTALES</t>
  </si>
  <si>
    <t>EXTENSIÓN DE RESERVAS FORESTALES DEL MUNICIPIO</t>
  </si>
  <si>
    <t>PROGRAMA Y ACCIONES REALIZADAS.</t>
  </si>
  <si>
    <t>GENERAR MAYOR SUPERFICIE DE RESERVAS NATURALES</t>
  </si>
  <si>
    <t>GESTIÓN PARA QUE DE DESTINES ZONAS DE PROTECCIÓN</t>
  </si>
  <si>
    <t>INCREMENTO DE ZONAS PROTECCIÓN AMBIENTAL</t>
  </si>
  <si>
    <t>CUIDADO Y PROTECCIÓN DE ZONAS DE RECARGA ACUÍFERA.</t>
  </si>
  <si>
    <t>DIAGNÓSTICO PARA DETECTAR LAS ZONAS DE RECARGA ACUÍFERA.</t>
  </si>
  <si>
    <t>PLAN DE SUSTENTABILIDAD Y EVIDENCIA DE SU APLICACIÓN</t>
  </si>
  <si>
    <t>REFORESTACIÓN DE CARRETERAS Y CAMINOS</t>
  </si>
  <si>
    <t>PLAN DE ACCIONES PARA LA REFORESTACIÓN. (ÁRBOL POR METRO LINEAL DE CAMINO)</t>
  </si>
  <si>
    <t>EVIDENCIA DE SU APLICACIÓN.</t>
  </si>
  <si>
    <t>CAMPAÑA MASIVA DE FORESTACIÓN Y REFORESTACIÓN Y CUADRILLA PERMANENTE DE MANTENIMIENTO Y CUIDADO DE ÁRBOLES</t>
  </si>
  <si>
    <t>PLAN DE CAMPAÑA.</t>
  </si>
  <si>
    <t>REPORTE DE RESULTADOS Y EVIDENCIA DE SU APLICACIÓN.</t>
  </si>
  <si>
    <t>PLAN DE TRABAJO DE LA CUADRILLA DE REFORESTACIÓN</t>
  </si>
  <si>
    <t>INSTALACIÓN DEL CONSEJO CIUDADANO MUNICIPAL DEL MEDIO AMBIENTE</t>
  </si>
  <si>
    <t>PERSONAS DE LA SOCIEDAD CIVIL INTEGRADAS</t>
  </si>
  <si>
    <t>PLAN DE TRABAJO Y EVIDENCIA DE APLICACIÓN, MINUTAS DE REUNIÓN</t>
  </si>
  <si>
    <t>REALIZAR EVENTOS Y FESTIVALES ENCAMINADOS A IMPULSAR EL CUIDADO DEL MEDIO AMBIENTE</t>
  </si>
  <si>
    <t>FESTIVAL CULTURAL DEL MEDIO AMBIENTE</t>
  </si>
  <si>
    <t>PLAN DE TRABAJO Y EVIDENCIA DE APLICACIÓN</t>
  </si>
  <si>
    <t>CREACIÓN Y SUSTENTABILIDAD DE UMAS DE CAZA Y PESCA.</t>
  </si>
  <si>
    <t>DIAGNÓSTICO PARA DETECTAR LAS ZONAS PROPICIAS PARA LA CAZA Y PESCA</t>
  </si>
  <si>
    <t>EFICIENTAR Y PROMOVER EL TRANSPORTE TERRESTRE PÚBLICO.</t>
  </si>
  <si>
    <t>SISTEMA DE TRANSPORTE MASIVO EFICIENTE.</t>
  </si>
  <si>
    <t>ESTUDIO DE LAS NECESIDADES DE TRANSPORTE PUBLICO</t>
  </si>
  <si>
    <t>RESULTADO DEL ESTUDIO Y PLAN DE MEJORA.</t>
  </si>
  <si>
    <t>FACILITAR LA MOVILIDAD DE LOS HABITANTES DE MUNICIPIO, DISMINUYENDO LA CONTAMINACIÓN OCASIONADA POR HUMO DE AUTOMOTORES.</t>
  </si>
  <si>
    <t xml:space="preserve">DESARROLLAR UN SISTEMA EFICIENTE DE  TRANSPORTE INTERMUNICIPAL Y FORÁNEO. </t>
  </si>
  <si>
    <t>ESTUDIO DE LAS NECESIDADES DE TRANSPORTE PUBLICO INTERMUNICIPAL</t>
  </si>
  <si>
    <t>RESULTADO DEL ESTUDIO Y PROYECTO EJECUTIVO PARA AMPLIAR LA COBERTURA.</t>
  </si>
  <si>
    <t>LUGARES DE SUMINISTRO DE COMBUSTIBLES.</t>
  </si>
  <si>
    <t>EXISTENTES /NECESARIOS, UNA VEZ IMPLEMENTADO EL SISTEMA DE TRANSPORTE</t>
  </si>
  <si>
    <t>DEMOSTRAR COBERTURA TOTAL DEL SERVICIO.</t>
  </si>
  <si>
    <t>TALLERES DE REPARACIÓN DE TRANSPORTE.</t>
  </si>
  <si>
    <t>CENTRALES DE AUTOBUSES URBANOS.</t>
  </si>
  <si>
    <t>ESTUDIO DE LA NECESIDAD DE CENTRALES DE AUTOBUSES URBANOS</t>
  </si>
  <si>
    <t>PROYECTO DE CONSTRUCCIÓN, FINANCIAMIENTO Y AUTORIZACIÓN.</t>
  </si>
  <si>
    <t>PARADAS DE AUTOBUSES URBANOS, CÓMODAS Y BIEN IDENTIFICADAS.</t>
  </si>
  <si>
    <t>ESTUDIO DE LA UBICACIÓN DE LA PARADAS DE AUTOBUSES</t>
  </si>
  <si>
    <t>PROYECTO DE CONSTRUCCIÓN, DISEÑO, FINANCIAMIENTO Y AUTORIZACIÓN.</t>
  </si>
  <si>
    <t>INFRAESTRUCTURA NECESARIA PARA CUBRIR NECESIDADES DEL TRANSPORTE TERRESTRE VEHICULAR.</t>
  </si>
  <si>
    <t>ESTACIONAMIENTOS SUFICIENTES.</t>
  </si>
  <si>
    <t>EXISTENTES / NECESARIOS</t>
  </si>
  <si>
    <t>PROYECTOS APROBADOS PARA SOLUCIONAR EL PROBLEMA</t>
  </si>
  <si>
    <t>CONTAR CON LA INFRAESTRUCTURA NECESARIA PARA CUBRIR NECESIDADES DEL TRANSPORTE TERRESTRE VEHICULAR.</t>
  </si>
  <si>
    <t>FACILITAR LA VIALIDAD Y MOVILIDAD URBANA ACORDE A LAS NECESIDADES DEL MUNICIPIO</t>
  </si>
  <si>
    <t>SEÑALIZACIÓN CLARA.</t>
  </si>
  <si>
    <t>VIALIDADES DE CALIDAD.</t>
  </si>
  <si>
    <t>M2 DE BUENA CALIDAD / TOTAL DE VIALIDADES. ESTUDIO DE LA CALIDAD DE LAS VIALIDADES</t>
  </si>
  <si>
    <t>CONSTRUCCIÓN DE VÍAS PRINCIPALES Y COLECTORAS DE ENLACE URBANO.</t>
  </si>
  <si>
    <t>AMPLIAR COBERTURA DE LOS SERVICIOS TELECOMUNICACIONES</t>
  </si>
  <si>
    <t>GESTIONAR LA INFRAESTRUCTURA PARA CUBRIR EL SERVICIO DE TELEFONÍA LOCAL EN ZONAS SIN SERVICIO.</t>
  </si>
  <si>
    <t>VIVIENDAS CON SERVICIO TELEFÓNICO / TOTAL DE VIVIENDAS</t>
  </si>
  <si>
    <t>ESTADÍSTICAS</t>
  </si>
  <si>
    <t>ASEGURAR LA COBERTURA DE LOS SERVICIOS DE COMUNICACIONES Y TRANSPORTES.</t>
  </si>
  <si>
    <t>TELEVISORAS</t>
  </si>
  <si>
    <t>COBERTURA DE CANALES LOCALES DE TELEVISIÓN</t>
  </si>
  <si>
    <t>REPORTE DE LAS TELEVISORAS LOCALES</t>
  </si>
  <si>
    <t>RADIODIFUSORAS</t>
  </si>
  <si>
    <t>COBERTURA DE ESTACIONES LOCALES DE RADIO</t>
  </si>
  <si>
    <t>REPORTE DE LAS RADIODIFUSORAS LOCALES</t>
  </si>
  <si>
    <t>INFRAESTRUCTURA Y REDES DE COMUNICACIÓN VÍA TELÉGRAFO</t>
  </si>
  <si>
    <t>COBERTURA DE LAS REDES DE TELÉGRAFOS</t>
  </si>
  <si>
    <t>REPORTE DE LA COMISIÓN DE TELÉGRAFOS</t>
  </si>
  <si>
    <t>CORREOS</t>
  </si>
  <si>
    <t>COBERTURA DEL SERVICIO POSTAL MEXICANO.</t>
  </si>
  <si>
    <t>REPORTE EMITIDO POR EL SERVICIO POSTAL MEXICANO.</t>
  </si>
  <si>
    <t>REALIZAR UN PROYECTO INTEGRAL DE MANEJO ECOLÓGICO</t>
  </si>
  <si>
    <t>DEFINIR EN BASE A ESTUDIO TERRITORIAL LA CAPACIDAD NECESARIA PARA ASEGURAR LA SUSTENTABILIDAD ECONÓMICA.</t>
  </si>
  <si>
    <t>PLAN DE ACCIONES Y EVIDENCIAS DOCUMENTADAS.</t>
  </si>
  <si>
    <t>ALCANZAR LA SUSTENTABILIDAD ECONÓMICA DEL MUNICIPIO.</t>
  </si>
  <si>
    <t>CIDAGUA</t>
  </si>
  <si>
    <t>DIAGNÓSTICO REAL Y CONFIABLE DE LA SITUACIÓN DE LA CONTAMINACIÓN DEL AGUA.</t>
  </si>
  <si>
    <t>DOCUMENTO DEL DIAGNÓSTICO Y PLAN DE ACCIONES NECESARIAS.</t>
  </si>
  <si>
    <t>CONJUNTAR ESFUERZOS PARA EL CUIDADO Y PROTECCIÓN DEL AGUA</t>
  </si>
  <si>
    <t xml:space="preserve">PLAN DE ACCIONES MULTIDISCIPLINARIAS ENCAMINADAS AL CUIDADO DEL AGUA </t>
  </si>
  <si>
    <t>SECTORIZACIÓN DE REDES PARA NO DESPERDICIAR EL AGUA.</t>
  </si>
  <si>
    <t>ELIMINAR DESCARGAS A CAUCES Y ARROYOS SIN PREVIO TRATAMIENTO.</t>
  </si>
  <si>
    <t>NO DE DESCARGAS ELIMINADAS</t>
  </si>
  <si>
    <t>DOCUMENTOS QUE AVALEN LA APLICACIÓN DE LOS REGLAMENTOS.</t>
  </si>
  <si>
    <t>CONSTRUCCIÓN, MANTENIMIENTO Y REHABILITACIÓN DE PLANTAS DE TRATAMIENTO.</t>
  </si>
  <si>
    <t>PLANTAS EXISTENTES / NECESARIAS</t>
  </si>
  <si>
    <t>AMPLIACIÓN DE REDES PARA EL APROVECHAMIENTO DE AGUAS GRISES EN EL RIEGO DE ÁREAS VERDES</t>
  </si>
  <si>
    <t>ML DE REDES DE AGUAS GRISES</t>
  </si>
  <si>
    <t>EXTENSIÓN QUE SE RIEGA CON AGUAS GRISES.  REPORTE DE ACTIVIDADES.</t>
  </si>
  <si>
    <t>GESTIÓN DE LA CONSTRUCCIÓN DEL ACUEDUCTO Y ACUAFÉRICO.</t>
  </si>
  <si>
    <t>GESTIÓN PARA QUE SE OBTENGA EL TITULO DE ASIGNACIÓN</t>
  </si>
  <si>
    <t>PLAN DE ACCIÓN Y ACTIVIDADES REALIZADAS, PROYECTOS Y RECURSOS.</t>
  </si>
  <si>
    <t>MUNICIPIO SUSTENTABLE</t>
  </si>
  <si>
    <t>GENERACIÓN DE ZONAS DE PROTECCIÓN ECOLÓGICA.</t>
  </si>
  <si>
    <t>ZONAS DE PROTECCIÓN ECOLÓGICA POR HABITANTE / M2 QUE MARCA LA NORMA</t>
  </si>
  <si>
    <t>CREACIÓN DE ÁREAS DE PROTECCIÓN ECOLÓGICA APROBADA POR CABILDO.</t>
  </si>
  <si>
    <t>ASEGURAR LA SUSTENTABILIDAD ECOLÓGICA DEL MUNICIPIO.</t>
  </si>
  <si>
    <t>IMPULSAR ACCIONES QUE AYUDEN A CONSERVAR LA CALIDAD DEL AGUA, AIRE Y SUELO.</t>
  </si>
  <si>
    <t>RESCATE DE ZONAS INUNDABLES CON EL FIN DE INCREMENTAR ESPACIOS VERDES, DEPORTIVOS, RECREATIVOS Y CULTURALES</t>
  </si>
  <si>
    <t>M2 RESCATADOS</t>
  </si>
  <si>
    <t>PLAN DE MANEJO DE LOS ESPACIOS</t>
  </si>
  <si>
    <t>IMPLEMENTAR EL SISTEMA DE VERIFICACIÓN VEHICULAR PARA DISMINUIR LOS EFECTOS DE LA CONTAMINACIÓN AMBIENTAL</t>
  </si>
  <si>
    <t>AUTOS VERIFICADOS / AUTOMÓVILES TOTALES</t>
  </si>
  <si>
    <t>EVIDENCIA DE LA VERIFICACIÓN.</t>
  </si>
  <si>
    <t>PROTECCIÓN DE ÁREAS FORESTALES PARA EVITAR QUEMAS CLANDESTINAS, INCENDIOS Y DEFORESTACIÓN</t>
  </si>
  <si>
    <t>ESTADÍSTICA ACTUALIZADA (UN AÑO) DE LAS ACCIONES QUE AFECTAN</t>
  </si>
  <si>
    <t>DEMOSTRAR REDUCCIÓN DEL PROBLEMA.</t>
  </si>
  <si>
    <t>EVITAR LA CONTAMINACIÓN DEL SUELO IMPULSANDO MECANISMOS PARA LA DISPOSICIÓN CORRECTA DE LOS RESIDUOS SÓLIDOS URBANOS.</t>
  </si>
  <si>
    <t>PROYECTO DEL RELLENO SANITARIO REGIONAL</t>
  </si>
  <si>
    <t>DOCUMENTOS QUE AVALEN EL AVANCE.</t>
  </si>
  <si>
    <t>IMPLEMENTAR PROGRAMAS DE SEPARACIÓN ALTERNA DE BASURA EN DELEGACIONES.</t>
  </si>
  <si>
    <t>COBERTURA DE LAS RUTAS DE RECOLECCIÓN ALTERNA</t>
  </si>
  <si>
    <t>RESULTADOS DOCUMENTADOS DE SU APLICACIÓN.</t>
  </si>
  <si>
    <t>CREACIÓN DE ÁREAS VERDES Y BOSQUES URBANOS</t>
  </si>
  <si>
    <t>M2 DE ÁREAS VERDES POR HABITANTE / M2 QUE MARCA LA NORMA</t>
  </si>
  <si>
    <t>EVIDENCIA DE ACCIONES DE MEJORA Y ESTADÍSTICA COMPARATIVA.</t>
  </si>
  <si>
    <t>CULTURA ECOLÓGICA</t>
  </si>
  <si>
    <t>PROMOVER EL CUIDADO DEL MEDIO AMBIENTE Y LOS RECURSOS NATURALES.</t>
  </si>
  <si>
    <t>PLAN DE ACCIONES PARA EL CUIDADO DEL MEDIO AMBIENTE</t>
  </si>
  <si>
    <t>LOGRAR TENER UN MUNICIPIO CON UN ENTORNO ECOLÓGICO SANO Y COMPROMETIDO CON LA EDUCACIÓN AMBIENTAL.</t>
  </si>
  <si>
    <t>PROMOVER EL CUIDADO DEL MEDIO AMBIENTE POR MEDIO DEL FOMENTO DE LA CULTURA ECOLÓGICA</t>
  </si>
  <si>
    <t>PLÁTICAS EMPRESAS DE FOMENTO A LA CULTURA ECOLÓGICA.</t>
  </si>
  <si>
    <t>EMPRESAS QUE HAN RECIBIDO PLÁTICAS / TOTAL DE EMPRESAS</t>
  </si>
  <si>
    <t>PROGRAMA DE VISITAS Y EVIDENCIA DE SU APLICACIÓN.</t>
  </si>
  <si>
    <t>IMPULSAR LA CULTURA ECOLÓGICA EN INSTITUCIONES EDUCATIVAS.</t>
  </si>
  <si>
    <t>ESCUELAS QUE HAN RECIBIDO PLÁTICAS / TOTAL DE ESCUELAS</t>
  </si>
  <si>
    <t>PROGRAMA DE AHORRO DE ENERGÍA.</t>
  </si>
  <si>
    <t>PLAN DE ACCIONES PARA EL AHORRO DE ENERGÍA</t>
  </si>
  <si>
    <t>VOCACIONAMIENTO PRODUCTIVO</t>
  </si>
  <si>
    <t>CONTAR CON LA INFRAESTRUCTURA HOSPITALARIA</t>
  </si>
  <si>
    <t>INFRAESTRUCTURA EXISTENTE / NECESARIA</t>
  </si>
  <si>
    <t>PROGRAMA DE MEJORA Y ACCIONES DOCUMENTADAS DE SU SEGUIMIENTO</t>
  </si>
  <si>
    <t>DEFINIR EL VOCACIONAMIENTO PRODUCTIVO DEL MUNICIPIO.</t>
  </si>
  <si>
    <t>GESTIONAR LA INFRAESTRUCTURA MUNICIPAL NECESARIA PARA EL DESARROLLO DEL VOCACIONAMIENTO MUNICIPAL.</t>
  </si>
  <si>
    <t>CORREDOR DE ESPECIALIDADES DE LA SALUD</t>
  </si>
  <si>
    <t>CONTAR CON LA INFRAESTRUCTURA EDUCATIVA NECESARIA</t>
  </si>
  <si>
    <t xml:space="preserve">QUE LOS ESPACIOS ADMINISTRATIVOS DEL MUNICIPIO  PROPORCIONEN UNA ESTANCIA AGRADABLE A LOS CIUDADANOS QUE REQUIEREN REALIZAR ALGÚN TRÁMITE. </t>
  </si>
  <si>
    <t>MEJORAS NECESARIAS / REALIZADAS</t>
  </si>
  <si>
    <t>EMPRENDEDORES</t>
  </si>
  <si>
    <t>PROGRAMAS EDUCATIVOS PARA EMPRENDEDORES.</t>
  </si>
  <si>
    <t>EMPRESARIOS PARTICIPANDO EN EL PROGRAMA / TOTAL DE EMPRESARIOS.</t>
  </si>
  <si>
    <t>GENERAR FUENTES DE TRABAJO, Y CAPACITACIÓN A EMPRESARIOS</t>
  </si>
  <si>
    <t>GENERACIÓN DE EMPLEOS Y REMUNERACIÓN JUSTA POR EL TRABAJO.</t>
  </si>
  <si>
    <t>PROPICIAR CONDICIONES PARA LA MICRO, PEQUEÑA Y GRANDES EMPRESAS.</t>
  </si>
  <si>
    <t xml:space="preserve">      ANÁLISIS DE LAS NECESIDADES QUE TIENE EL MUNICIPIO PARA IMPULSAR EL GIRO EMPRESARIAL</t>
  </si>
  <si>
    <t>PROGRAMA DE ACTIVIDADES Y AVANCES DOCUMENTADOS.</t>
  </si>
  <si>
    <t>PROGRAMAS PARA QUE LOS ADULTOS CAPACITEN A NUEVOS EMPRENDEDORES</t>
  </si>
  <si>
    <t>TALLERES DE CAPACITACIÓN REALIZADOS /PERSONAS PARTICIPANDO</t>
  </si>
  <si>
    <t>PROGRAMA DE CAPACITACIONES Y EVIDENCIA DE SU FUNCIONAMIENTO.</t>
  </si>
  <si>
    <t>CREAR VÍNCULOS CON UNIVERSIDADES Y AYUNTAMIENTO PARA BUSCAR TALENTOS  Y APOYAR EMPRESARIOS PARA LA ELABORACIÓN DE PRODUCTOS.</t>
  </si>
  <si>
    <t>CONVENIOS, OFICIOS, ETC.</t>
  </si>
  <si>
    <t>APROVECHAR LOS PROGRAMAS DE DE DESARROLLO ECONÓMICO DEL ESTADO Y FEDERALES</t>
  </si>
  <si>
    <t>PROGRAMAS UTILIZADOS / CARTERA GENERAL DE PROGRAMAS</t>
  </si>
  <si>
    <t>ESCUELA DE ARTES Y OFICIOS</t>
  </si>
  <si>
    <t>DESARROLLO DE LOS SECTORES PRODUCTIVOS</t>
  </si>
  <si>
    <t>PROPICIAR LA PRODUCCIÓN PARA EL MERCADO INTERNO.</t>
  </si>
  <si>
    <t>PRODUCTORES LOCALES / PRODUCTORES QUE DISTRIBUYEN SUS PRODUCTOS EN LA REGIÓN.</t>
  </si>
  <si>
    <t>DOCUMENTOS EL CONSUMO Y DISTRIBUCIÓN INTERNO DE LOS PRODUCTOS.</t>
  </si>
  <si>
    <t>GENERAR LAS CONDICIONES PARA QUE LOS PRODUCTORES LOCALES PUEDAN COMERCIALIZAR SUS PRODUCTOS EN LA REGIÓN.</t>
  </si>
  <si>
    <t>PROMOVER LOS PRODUCTOS Y PRODUCTORES LOCALES.</t>
  </si>
  <si>
    <t>CAMPAÑA DE PROMOCIÓN</t>
  </si>
  <si>
    <t>PLAN DE CAMPAÑA Y RESULTADOS OBTENIDOS.</t>
  </si>
  <si>
    <t>PROGRAMA MUNICIPAL DE DESARROLLO PRODUCTIVO.</t>
  </si>
  <si>
    <t>EVIDENCIA DE SU APLICACIÓN Y REPORTE DE RESULTADOS.</t>
  </si>
  <si>
    <t>DEFINIR DESARROLLO DE PRODUCTOS DE ACUERDO AL VOCACIONAMIENTO.</t>
  </si>
  <si>
    <t>ESTUDIO DE VOCACIONAMIENTO Y PRODUCTOS VIABLES EN LA REGIÓN</t>
  </si>
  <si>
    <t>LISTA DE PRODUCTOS Y EVIDENCIAR ACCIONES REALIZADAS.</t>
  </si>
  <si>
    <t>PROGRAMAS DE APOYO A PRODUCTORES RURALES.</t>
  </si>
  <si>
    <t>PRODUCTORES APOYADOS / TOTAL DE PRODUCTORES.</t>
  </si>
  <si>
    <t>PROGRAMAS, DOCUMENTOS QUE AVALEN EL APOYO A LOS PRODUCTORES.</t>
  </si>
  <si>
    <t>IMPULSO A LAS CADENAS PRODUCTIVAS.</t>
  </si>
  <si>
    <t>CADENAS PRODUCTIVAS EXISTENTES Y TIPO DE APOYOS NECESARIOS</t>
  </si>
  <si>
    <t>ACTIVIDADES REALIZADAS DE IMPULSO A LAS CADENAS PRODUCTIVAS.</t>
  </si>
  <si>
    <t>CENTRO FINANCIERO ADMINISTRATIVO REGIONAL</t>
  </si>
  <si>
    <t>GESTIÓN PARA EL EMPLAZAMIENTO DEL CENTRO</t>
  </si>
  <si>
    <t>AVANCE EN LAS GESTIONES</t>
  </si>
  <si>
    <t>PROPICIAR LA INDUSTRIA COMPLEMENTARIA TECNOLÓGICA</t>
  </si>
  <si>
    <t>NUEVAS EMPRESAS</t>
  </si>
  <si>
    <t>FORTALECER LA INDUSTRIA AGROPECUARIA</t>
  </si>
  <si>
    <t>INDUSTRIAS INSTALADAS</t>
  </si>
  <si>
    <t>CONTACTO CON EMPRESAS QUE PUEDAN ASENTARSE EN EL MUNICIPIO Y GENEREN EMPLEOS DE CALIDAD ACEPTABLE</t>
  </si>
  <si>
    <t>EMPRESAS NUEVAS</t>
  </si>
  <si>
    <t>EXPLOTAR ALTERNATIVAS TURÍSTICAS DEL MUNICIPIO</t>
  </si>
  <si>
    <t>TURISTAS NACIONALES Y EXTRANJEROS QUE VISITAN EL MUNICIPIO (ESTADÍSTICA)</t>
  </si>
  <si>
    <t>PROGRAMAS DE DESARROLLO TURÍSTICO DEL MUNICIPIO Y REPORTE DE ACTIVIDADES.</t>
  </si>
  <si>
    <t>DESARROLLO DE INFRAESTRUCTURA Y SERVICIOS.</t>
  </si>
  <si>
    <t>INFRAESTRUCTURA NECESARIA / EXISTENTE</t>
  </si>
  <si>
    <t>PLAN DE ACCIONES Y EVIDENCIA DE LAS MEJORAS REALIZADAS.</t>
  </si>
  <si>
    <t>INCREMENTAR COMPETITIVIDAD DE LOS SECTORES PRODUCTIVOS DEL MUNICIPIO.</t>
  </si>
  <si>
    <t>PROMOVER LA CALIDAD EN LOS PRODUCTOS ALTEÑOS.</t>
  </si>
  <si>
    <t>TALLERES DE CALIDAD EN EL SERVICIO / EMPRESARIOS ASISTENTES</t>
  </si>
  <si>
    <t>PROMOVER CAMPAÑAS DE CAPACITACIÓN EN LA CALIDAD PARA AUMENTAR LA COMPETITIVIDAD MUNICIPAL.</t>
  </si>
  <si>
    <t>DESARROLLO DE NUEVAS ACTIVIDADES PRODUCTIVAS.</t>
  </si>
  <si>
    <t>DIAGNÓSTICO PARA DETECTAR OPCIONES PRODUCTIVAS</t>
  </si>
  <si>
    <t>REMESAS DE MIGRANTES</t>
  </si>
  <si>
    <t>APROVECHAR LAS REMESAS DE LOS MIGRANTES PARA MEJORAR LA CALIDAD DE VIDA DE LOS CIUDADANOS.</t>
  </si>
  <si>
    <t>ESTADÍSTICAS ACTUALIZADAS  (UN AÑO) DE REMESAS DE MIGRANTES</t>
  </si>
  <si>
    <t xml:space="preserve">NÚMERO DE FAMILIAS QUE RECIBEN REMESAS DE MIGRANTES </t>
  </si>
  <si>
    <t>tg</t>
  </si>
  <si>
    <t>Gasto Corriente</t>
  </si>
  <si>
    <t>TIPO DE RECURSO</t>
  </si>
  <si>
    <t>Recaudación propia</t>
  </si>
  <si>
    <t>20% para el saneamiento de las aguas residuales</t>
  </si>
  <si>
    <t>2% o 3% para la infraestructura básica existente</t>
  </si>
  <si>
    <t>Aportaciones de la Federación para obras o servicos</t>
  </si>
  <si>
    <t>Aportaciones del Estado para obras o servicos</t>
  </si>
  <si>
    <t>Aportaciones de terceros para obras o servicios</t>
  </si>
  <si>
    <t>Otros</t>
  </si>
  <si>
    <t>Del fondo de Insfraestructura social Municipal 1998</t>
  </si>
  <si>
    <t>Del fondo de Fortalecimiento social Muncipal 1998</t>
  </si>
  <si>
    <t>Del fondo de Insfraestructura social Municipal 1999</t>
  </si>
  <si>
    <t>Del fondo de Fortalecimiento social Muncipal 1999</t>
  </si>
  <si>
    <t>Del fondo de Insfraestructura social Municipal 2000</t>
  </si>
  <si>
    <t>Del fondo de Fortalecimiento social Muncipal 2000</t>
  </si>
  <si>
    <t>Del fondo de Insfraestructura social Municipal 2001</t>
  </si>
  <si>
    <t>Del fondo de Fortalecimiento social Muncipal 2001</t>
  </si>
  <si>
    <t>Del fondo de Insfraestructura social Municipal 2002</t>
  </si>
  <si>
    <t>Del fondo de Fortalecimiento social Muncipal 2002</t>
  </si>
  <si>
    <t>Del fondo de Insfraestructura social Municipal 2003</t>
  </si>
  <si>
    <t>Del fondo de Fortalecimiento social Muncipal 2003</t>
  </si>
  <si>
    <t>Del fondo de Insfraestructura social Municipal 2004</t>
  </si>
  <si>
    <t>Del fondo de Fortalecimiento social Muncipal 2004</t>
  </si>
  <si>
    <t>Del fondo de Insfraestructura social Municipal 2005</t>
  </si>
  <si>
    <t>Del fondo de Fortalecimiento social Muncipal 2005</t>
  </si>
  <si>
    <t>Del fondo de Insfraestructura social Municipal 2006</t>
  </si>
  <si>
    <t>Del fondo de Fortalecimiento social Muncipal 2006</t>
  </si>
  <si>
    <t>Del fondo de Insfraestructura social Municipal 2007</t>
  </si>
  <si>
    <t>Del fondo de Fortalecimiento social Muncipal 2007</t>
  </si>
  <si>
    <t>Del fondo de Insfraestructura social Municipal 2008</t>
  </si>
  <si>
    <t>Del fondo de Fortalecimiento social Muncipal 2008</t>
  </si>
  <si>
    <t>Del fondo de Insfraestructura social Municipal 2009</t>
  </si>
  <si>
    <t>Del fondo de Fortalecimiento social Muncipal 2009</t>
  </si>
  <si>
    <t>Del fondo de Insfraestructura social Municipal 2010</t>
  </si>
  <si>
    <t>Del fondo de Fortalecimiento social Muncipal 2010</t>
  </si>
  <si>
    <t>Del fondo de Insfraestructura social Municipal 2011</t>
  </si>
  <si>
    <t>Del fondo de Fortalecimiento social Muncipal 2011</t>
  </si>
  <si>
    <t>HABITAT</t>
  </si>
  <si>
    <t>AHORRO, SUBSIO Y CRÉDITO PARA LA VIVIENDA</t>
  </si>
  <si>
    <t>MICROREGIONES</t>
  </si>
  <si>
    <t>3X1 PARA MIGRANTES</t>
  </si>
  <si>
    <t>EMPLEO TEMPORAL</t>
  </si>
  <si>
    <t>VIVIENDA RURAL</t>
  </si>
  <si>
    <t>OPCIONES PRODUCTIVAS</t>
  </si>
  <si>
    <t>RESCATE DE ESPACIOS PUBLICOS</t>
  </si>
  <si>
    <t>EXCEDENTES PETROLEROS</t>
  </si>
  <si>
    <t>FONAPO</t>
  </si>
  <si>
    <t>SUBSEMUN</t>
  </si>
  <si>
    <t>CONADE</t>
  </si>
  <si>
    <t>CONACULTURA</t>
  </si>
  <si>
    <t>PRODDER</t>
  </si>
  <si>
    <t>APAZU</t>
  </si>
  <si>
    <t>INCA RURAL/SINACATRI</t>
  </si>
  <si>
    <t>CONADEP/CEDIPIEM</t>
  </si>
  <si>
    <t>OTROS RECURSOS FEDERALES</t>
  </si>
  <si>
    <t>3x1 Estatal</t>
  </si>
  <si>
    <t>Mejoramiento de casa o de vivienda</t>
  </si>
  <si>
    <t>PACE</t>
  </si>
  <si>
    <t>Electrificación en poblados rural y colonias pobres</t>
  </si>
  <si>
    <t>Rehabilitación de imagen urbana en municipios</t>
  </si>
  <si>
    <t>Desarrollo regional (FONDEREG)</t>
  </si>
  <si>
    <t>Zonas deserticas</t>
  </si>
  <si>
    <t>Otros programas estatales</t>
  </si>
  <si>
    <t>Empréstitos a la banca oficial</t>
  </si>
  <si>
    <t>Empréstitos a la banca comercial</t>
  </si>
  <si>
    <t>Empréstitos a particulares</t>
  </si>
  <si>
    <t>Otros Empréstitos</t>
  </si>
  <si>
    <t>Recursos de Empresas Privadas</t>
  </si>
  <si>
    <t>Recursos de Convenios Intermunicipales</t>
  </si>
  <si>
    <t>Recursos de otros fondos y Convenios</t>
  </si>
  <si>
    <t>Fondos Internacionales</t>
  </si>
  <si>
    <t>ENE</t>
  </si>
  <si>
    <t>FEB</t>
  </si>
  <si>
    <t>MAR</t>
  </si>
  <si>
    <t>ABR</t>
  </si>
  <si>
    <t>MAY</t>
  </si>
  <si>
    <t>JUN</t>
  </si>
  <si>
    <t>JUL</t>
  </si>
  <si>
    <t>AGO</t>
  </si>
  <si>
    <t>SEP</t>
  </si>
  <si>
    <t>OCT</t>
  </si>
  <si>
    <t>NOV</t>
  </si>
  <si>
    <t>DIC</t>
  </si>
  <si>
    <t>ACTIVIDAD</t>
  </si>
  <si>
    <t>META</t>
  </si>
  <si>
    <t>EFICACIA</t>
  </si>
  <si>
    <t>CANT</t>
  </si>
  <si>
    <t>VARIABLE</t>
  </si>
  <si>
    <t>FEC. IND.</t>
  </si>
  <si>
    <t>RECURSO</t>
  </si>
  <si>
    <t>TOTAL</t>
  </si>
  <si>
    <t>TESORERIA MUNICIPAL</t>
  </si>
  <si>
    <t>Prioridad</t>
  </si>
  <si>
    <t>PAGO DE SERVICIOS</t>
  </si>
  <si>
    <t>REALIZAR EL PAGO DE SERVICIOS DE MANERA OPORTUNA, EVITANDO CON ELLO CORTES Y SUSPENSIÓN DE LOS MISMOS, PARA PROPORCIONAR UNA MEJOR ATENCION A LA CIUDADANIA.</t>
  </si>
  <si>
    <t>$ PAGADO 2011 / $ PAGADO 2010</t>
  </si>
  <si>
    <t>MENSUAL</t>
  </si>
  <si>
    <t>SERVICIO DE ENERGIA ELECTRICA</t>
  </si>
  <si>
    <t>12 PAGOS</t>
  </si>
  <si>
    <t>KW 2011 /KW 2010</t>
  </si>
  <si>
    <t>10 PAGOS</t>
  </si>
  <si>
    <t>2 PAGOS</t>
  </si>
  <si>
    <t>SERVICIO TELEFONIA CELULAR</t>
  </si>
  <si>
    <t>$ 2011 / $ 2010</t>
  </si>
  <si>
    <t>SERVICIO DE RADIOLOCALIZACION</t>
  </si>
  <si>
    <t>PARTIDA</t>
  </si>
  <si>
    <t xml:space="preserve">EN EL 2010 SE PAGO POR LOS SERVICIOS DE ENERGIA ELECTRICA, TELEFONIA CELULAR Y RADIOLOCALIZACIÓN LA CANTIDAD DE $21'317,323.00 = 0.5515 DE SERVICIOS. POR LO QUE EN EL 2011 SE PRETENDE REDUCIR UN .05% EQUIVALENTE A $106,586.00 EN COMPARACIÓN AL 2010. </t>
  </si>
  <si>
    <t>GUIA DE ELABORACION FORMATO PRESUPEUSTO DE EGRESOS 2011</t>
  </si>
  <si>
    <t>EN LA HOJA "EJEM", SE MANEJA UN EJEMPLO DE LLENADO DEL FORMATO, EN EL CUAL SE ENCUENTRAN REQUISITADOS TODOS LOS CAMPOS PARA LA ELABORACION DEL PRESUPUESTO DE EGRESOS PARA EL EJERCICIO FISCAL 2011.</t>
  </si>
  <si>
    <t>EN LA HOJA "PROYECTO", ES EL FORMATO EN EL CUAL SE DEBERA ELABORAR EL PRESUPUESTO PARA CADA UNA DE LAS DEPENDENCIAS DEL MUNICIPIO, EL CUAL CONSTA DE LOS SIGUIENTES CAMPOS:</t>
  </si>
  <si>
    <t>EN PRIMER LUGAR ANTES DE CAPTURAR ALGUN PROYECTO, SE DEBE DUPLICAR LA HOJA "PROYECTO" CUANTAS VECESA SEA NECESARIO, ESTO ES UNA HOJA PARA CADA PROYECTO.</t>
  </si>
  <si>
    <t>SE REALIZA DE LA FORMA SIGUIENTE:  HAY QUE HAXCER CLIC CON EL BOTON DERECHO DEL RATOBN SOBRE LA HOJA "PROYECTO", DEL MENU DESPLEGABLE SELECCIONAR "MOVER O COPIAR"</t>
  </si>
  <si>
    <t xml:space="preserve">                                                          UNA VEZ SELECCIONADO MOVER O COPIAR APARECE UNA VENTANA COMO LA SIGUIENTE:</t>
  </si>
  <si>
    <t>EN EL APARTADO DE "ANTES DE LA HOJA" SELECCIONAMOS (MOVER AL FINAL), POSTERIOR A ELLO ACTIVAMOS LA CASILLA DE VERIFICACION "CREAR UNA COPIA" Y HACEMOS CLIC EN ACEPTAR.</t>
  </si>
  <si>
    <t>DESPUES DE HACER CLIC EN ACEPTAR SE INCERTA UNA HOJA NUEVA CON EL NOMBRE "PROYECTO(2)"</t>
  </si>
  <si>
    <t>AL INCERTAR MAS HOJAS DE LA FORMA DESCRITA CON ANTERIORIDAD SE IRAN AGREGANDO AL FINAL MAS HOJAS CON LOS NOMBRES "PROYECTO (3)", "PROYECTO (4), ETC.</t>
  </si>
  <si>
    <t>UNA VEZ INCERTADAS TANTAS HOJAS COMO PROYECTOS, ENTONCES PROCEDEMOS A LA CAPTURA DE LOS PROYECTOS.</t>
  </si>
  <si>
    <t>EN LA HOJA "PROYECTO" PRIMERO VAMOS A CAPTURAR EL NOMBRE DE LA DEPENDENCIA, DELEGACION, DIRECCION, JEFATURA O COORDINACION A LA CUAL PERTENEZCA EL PROYECTO.</t>
  </si>
  <si>
    <t>DESPUES DE CAPTURAR LA DEPENDENCIA, EN EL APARTADO DE "PRIORIDAD", VAMOS A INDICAR CON UN NUMERO (1, 2, 3,ó 4) LA PRIORIZACION DE CADA UNO DE LOS PROYECTOS, NO CONFORME A LA CAPTURA SINO AL ORDEN DE IMPRTANCIA.</t>
  </si>
  <si>
    <t>DESPUES DE CAPTURAR LA PRIORIDAD, EN EL APARTADO DE "META ANUAL", VAMOS A SELECCIONAR DE LA LISTA DESPLEGABLE LA META, QUE CONFORME AL PLAN MUNICIPAL DE DESARROLLO, ES ACORDE A NUESTRO PROYECTO.</t>
  </si>
  <si>
    <t>EN EL PARTADO "PROGRAMA", VAMOS A PONER EL NOMBRE DE NUESTRO PROYECTO.</t>
  </si>
  <si>
    <t>EN EL PARTADO "OBJETIVO", VAMOS A ESCRIBIR EL OBJETIVO DEL PROYECTO.</t>
  </si>
  <si>
    <t>EN EL PARTADO "PROPOSITOS", VAMOS A CAPTURAR LA SITUACION REAL DEL PROYECTO Y HACIA DONDE QUEREMOS LLEGAR, O QUE QUEREMOS LOGRAR, ESTO ES BAJAR EL INDICE DELICTIVO EN TANTO %, AUMENTAR LOS INGRESOS EN X PESOS, ETC.</t>
  </si>
  <si>
    <t>EN EL APARTADO "FORMULA", VAMOS A ESCRIBIR LA FORMA DE MEDICION DEL PROYECTO, ESTA MANERA DE MEDICION LA VAMOS A ESCRIBIR A TRAVES DE UNA FORMULA QUE INDIQUE DE MANERA RESUMIDA COMO VAMOS A EVALUAR EL CUMPLIMIENTO DEL PROYECTO</t>
  </si>
  <si>
    <t>EN EL APARTADO "FRECUENCIA", VAMOS A ESCRIBIR CADA CUANDO VAMOS A LLEVAR ACABO LA VERIFICACION DEL CUMPLIMIENTO DEL PROYECTO, PUEDE SER QUINCENAL, MENSUAL, BIMESTRA, SEMESTRAL, ETC.</t>
  </si>
  <si>
    <t>EN LA PARTE DE ABAJO DEL FORMATO VAMOS A COSTEAR NUESTRO PROYECTO.</t>
  </si>
  <si>
    <t>DESPUES DE ECRIBIR LA ACTIVIDAD, DEBO PONER LA META, LA META INDICA DE MANERA TANGIBLE LO QUE QUIERO HACER, ATENDER 100 PERSONAS, HACER X PAGOS, INCREMENTAR X %, ETC.</t>
  </si>
  <si>
    <t>EN LA SIGUIENTE COLUMNA SE CAPTURA LA EFICACIA, ESTO ES EL GRADO DE CUMPLIMIENTO ESTIMADO DE LA META.</t>
  </si>
  <si>
    <t>EN LA COLUMNA PARTIDA, ES LA CUENTA CONTABLE QUE SE AFECTA CON LA ACTIVIDAD SEÑALADA, ESTE NUMERO DE CUENTA DEBE SER DE TRES DIGITOS, CONFORME AL CATALOGO DE LA CONAC, MISMO QUE SE ADJUNTA EN EL CD</t>
  </si>
  <si>
    <t>EN LA COLUMNA "CANT" EN EL NUMERO DE EVENTOS, VECES O INSUMOS QUE SE REQUIEREN.</t>
  </si>
  <si>
    <t>EN LA COLUMNA "VARIABLE" ES CAPTURAR CON UNA FORMULA, EL COMO SE VA A MEDIR EL CUMPLIMIENTO DE LA ACTIVIDAD</t>
  </si>
  <si>
    <t>EN LA COLUMNA "FEC. INDI" SE VA A CAPTURAR CON QUE FRECUENCIA SE VA  AVERIFICAR EL CUMPLIMIENTO DE LA ACTIVIDAD.</t>
  </si>
  <si>
    <t>EN LA COLUMNA "TG" SE VA A PONER "GASTO CORRIENTE"</t>
  </si>
  <si>
    <t>EN LA COLUMNA "RECURSO" SE VA A CAPTURAR EL TIPO DE RECURSO CON EL QUE SE VA A PAGAR EL BIEN O SERVICIO ADQUIRIDO. ESTO EUIERE DECRI QUE SI SE DA EL CASO QUE UNA ACTIVIDAD SE PAGA CON DOS RECURSOS SE DEBE CAPTURAR DOS VECES, UNA PARA CADA TIPO DE RECURSO.</t>
  </si>
  <si>
    <t>EN LAS COLUMNAS QUE SIGUEN, SE DEBE CAPTURAR EL IMPORTE, PERO ESTE IMPORTE DEBE EQUIVALER AL MONTO QUE SE PRETENDEN EJERCER EN CADA UNO DE LOS MESES, DE TAL MANERA QUE LA SUMA DE TODOS LOS MESES ME ARROJA EL COSTO DE MI ACTIVIDAD (ENTIENDASE COMO ACTIVIDAD EL BIEN O SERVICIO A ADQUIRIR)</t>
  </si>
  <si>
    <t>EN ESTE APARTADO VAMOS A ESCRIBIR CADA UNA DE LAS ACTIVIDADES QUE INFIEREN EN NUESTRO PROYECTO, ESRTO ES, ENETENDIENDO COMO ACTIVIDAD CUALQUIER BIEN O SERVICIO NECESARIO PARA EL CUMPLIMIENTO DE NEUSTRO PROYECTO.</t>
  </si>
  <si>
    <t>EL PRESENTE LIBRO CONSTA DE DOS TRES HOJAS: "GUIA", "EJEM" Y "PROYECTO".</t>
  </si>
  <si>
    <t>EL PRESENTE ARCHIVO DEBERA TRABAJARSE EN EXCEL 2007 O SUPERIOR.</t>
  </si>
  <si>
    <t>Gasto corriente</t>
  </si>
  <si>
    <t>num d partcipaciones / poblacion</t>
  </si>
  <si>
    <t>DIFUSION DEL EVENTO</t>
  </si>
  <si>
    <t>APROBACIÓN DE PROYECTOS (Viaticos jurado)</t>
  </si>
  <si>
    <t>Semanal</t>
  </si>
  <si>
    <t>Numero de participantes / población joven</t>
  </si>
  <si>
    <t>Quincenal</t>
  </si>
  <si>
    <t>ANUAL</t>
  </si>
  <si>
    <t>SISTEMA PARA EL DESARROLLO INTEGRAL DE LA FAMILIA DEL MUNICIPIO DE TEPATITLAN DE MORELOS</t>
  </si>
  <si>
    <t>FORTALECER Y PROMOVER EL DESARROLLO INTEGRAL DE LA FAMILIA Y DE LAS PERSONAS MAS VULNERABLES DE NUESTRO MUNICIPIO</t>
  </si>
  <si>
    <t>CONTRATACION DE PERSONAL</t>
  </si>
  <si>
    <t>SUBSIDIO MUNICIPAL</t>
  </si>
  <si>
    <t>DIFUSION DE LOS PROGRAMAS DIF</t>
  </si>
  <si>
    <t>QUE LA OPERACIÓN DEL DIF MUNICIPAL NO SE VEA TRUNCADA POR FALTA DE PAGOS DE SERVICIOS</t>
  </si>
  <si>
    <t>18 PAGOS</t>
  </si>
  <si>
    <t>TELEFONOS</t>
  </si>
  <si>
    <t>INTERNET</t>
  </si>
  <si>
    <t>SERVICIO POSTAL Y PAQUETERIA</t>
  </si>
  <si>
    <t>AGUA</t>
  </si>
  <si>
    <t>48  PAGOS</t>
  </si>
  <si>
    <t>ARRENDAMIENTO</t>
  </si>
  <si>
    <t>1 PAGO</t>
  </si>
  <si>
    <t>FLETES Y ACARREOS</t>
  </si>
  <si>
    <t>6 PAGOS</t>
  </si>
  <si>
    <t>SEGUROS Y FIANZAS</t>
  </si>
  <si>
    <t>REFRENDOS Y TENENCIAS</t>
  </si>
  <si>
    <t>GASTOS 2011/ GASTOS 2010</t>
  </si>
  <si>
    <t>CAPTAR UN MAYOR NUMERO DE PACIENTES ABRIENDO EL AREA DE ESTIMULACION TEMPRANA, TERAPIA DE LENGUAJE Y SALA SENSORIAL, LLEGANDO A CONCRETAR UN TANQUE TERAPEUTICO Y ASI PODER ESTAR A LA VANGUARDIA CON HIDROTERAPIAS</t>
  </si>
  <si>
    <t>BRINDAR UNA MEJOR Y MAS COMPLETA ATENCION A TODOS NUESTROS USUARIOS PARA QUE TENGAN UN TRATAMIENTO  OPTIMO Y POR LO TANTO UNA EVOLUCION MAS RAPIDA MEJORANDO CON ELLO SU CALIDAD DE VIDA</t>
  </si>
  <si>
    <t>Numero de participantes / población necesitada</t>
  </si>
  <si>
    <t>UNIDAD DE REHABILITACION REGIONAL</t>
  </si>
  <si>
    <t xml:space="preserve">4 TERAPISTAS, 2 DOCTORAS, 1 PSICOLOGA, SECRETARIO, LIMPIEZA </t>
  </si>
  <si>
    <t>UNIDAD DE ATENCION A LA VIOLENCIA INTRAFAMILIAR</t>
  </si>
  <si>
    <t>Numero de casos / Numero de familias</t>
  </si>
  <si>
    <t>Considero que es sumamente necesario que se implemente este taller ya que el ejercicio físico mejora la función mental, la autonomía, la memoria, la rapidez, la "imagen corporal" y la sensación de bienestar, produciendo una estabilidad en la personalidad caracterizada por el optimismo, la euforia y la flexibilidad mental que en el caso de las personas con habilidades diferentes es primordial para elevar su autoestima y su calidad de vida.</t>
  </si>
  <si>
    <t>Numero de participantes / población vulnerable</t>
  </si>
  <si>
    <t>Generar un grupo competitivo en este deporte que inclusive se puedan ir a competir en los paralímpicos o en su defecto los parapanamericanos</t>
  </si>
  <si>
    <t>15 personas</t>
  </si>
  <si>
    <t>mensual</t>
  </si>
  <si>
    <t>CAPACITACION Y ADIESTRAMIENTO DE FACILITADORES</t>
  </si>
  <si>
    <t>5 PERSONAS</t>
  </si>
  <si>
    <t>FUNCION DE TALLERES</t>
  </si>
  <si>
    <t>TRABAJO SOCIAL</t>
  </si>
  <si>
    <t>PROMOVER EL CAMBIO SOCIAL, LA RESOLUCION DE PROBLEMAS EN LAS RELACIONES HUMANAS Y EL FORTALECIMIENTO PARA INCREMENTAR EL BIENESTAR MEDIANTE LA UTILIZACION DE TEORIAS SOBRE EL COMPORTAMIENTO HUMANO Y LOS SISTEMAS SOCIALES, EL TRABAJO SOCIAL INTERVIENE EN LOS PUNTOS EN LOS QUE LAS PERSONAS INTERACTUAN CON SU ENTORNO.</t>
  </si>
  <si>
    <t>EL SISTEMA DIF MUNICIPAL PROMUEVE APOYO ASISTENCIAL A PERSONAS EN TRABAJO MARGINALES, EN SUS DISTINTAS EXPRESIONES SE DIRIGE A LAS PERSONAS VULNERABLES Y CON PERFIL DE ASISTENCIA SOCIAL. EL PROPOSITO ES FACILITAR QUE TODAS LAS PERSONAS DESARROLLEN PLENAMENTE SU VIDA EN SU ENTORNO FAMILIAR.</t>
  </si>
  <si>
    <t>Numero de apoyos/población vulnerable</t>
  </si>
  <si>
    <t>RECABACION DE DATOS DE LAS PERSONAS MAS VULNERABLES</t>
  </si>
  <si>
    <t>NUMERO DE APOYOS/POBLACION VULNERABLE</t>
  </si>
  <si>
    <t>GENERACION DE AYUDAS</t>
  </si>
  <si>
    <t>SE PRETENDE FORMAR 20 GRUPOS DE PADRES DE FAMILIA CON UN TOTAL DE 500 PADRES</t>
  </si>
  <si>
    <t>ECAPAF</t>
  </si>
  <si>
    <t>FORTALECER LAS FAMILIAS A TRAVES DEL TRABAJO PRESENCIAL ORIENTADO A LOS PADRES DE FAMILIA, PARTICULARMENTE A LOS MENOS FAVORECIDOS POR SU SITUACION SOCIO-ECONOMICA Y DE ACCESO A LA INFORMACION, PROPORCIONANDOLES  ALGUNOS CRITERIOS, ESTRATEGIAS, Y HERRAMIENTAS QUE LOS APOYEN EN EL PROCESO DE FORMACION Y DESEMPEÑO ADECUADO A SU ROL</t>
  </si>
  <si>
    <t>EL SISTEMA DIF MUNICIPAL QUIERE CONTRIBUIR CON LOS PADRES DE FAMILIA PARA QUE INCORPOREN NUEVOS MODELOS DE RELACION CON SUS HIJOS, TRANSMITIENDO LOS VALORES, COMENZANDO CON CAMBIOS DE CONDUCTAS ESPECIFICAS QUE SE TRANSFORMEN EN HABITOS Y ACTITUDES QUE FAVOREZCAN EL DESARROLLO INDIVIDUAL, FAMILIAR Y POR ENDE SOCIAL DEL INDIVIDUO.</t>
  </si>
  <si>
    <t>SELECCIÓN Y FORMACION DE GRUPOS</t>
  </si>
  <si>
    <t>20 GRUPOS CON 25 PERSONAS CADA UNO</t>
  </si>
  <si>
    <t>IMPLEMENTACION DEL TALLER</t>
  </si>
  <si>
    <t>Numero de participantes / familias</t>
  </si>
  <si>
    <t>ENTREGA DE CONSTANCIAS</t>
  </si>
  <si>
    <t>20GRUPOS CON 25 PERSONAS CADA UNO</t>
  </si>
  <si>
    <t>BRINDAR ATENCION A 700 JOVENES DE DIVERSAS ESCUELAS CON TALLERES Y PLATICAS DE PREVENCION</t>
  </si>
  <si>
    <t>PREVERP</t>
  </si>
  <si>
    <t>REDUCIR LOS RIESGOS PSICOSOCIALES A LSO QUE ESTAN EXPUESTOS LOS NIÑOS Y ADOLESCENTES MEDIANTE LA PREVENCION A TRAVES DE TALLERES, SESIONES INFORMATIVAS Y ORIENTACIONES INDIVIDUALES CUANDO SE REQUIERA</t>
  </si>
  <si>
    <t>SE REALIZARAN LAS ACCIONES NECESARIAS PARA LLEVAR A CABO LA IMPLEMENTACION DE ESTRATEGIAS ENFOCADAS AL CONOCIMIENTO Y FORMACION DE LOS JOVENES ENTRE 8 Y 18 AÑO POR CUESTIONES ADHERENTES A LA CONDICION DE PREADOLESCENTES Y ADOLESCENTES ESTAN EN DIVERSOS RIESGOS.</t>
  </si>
  <si>
    <t>GENERAR BASES DE DATOS</t>
  </si>
  <si>
    <t>REGISTRAR 700 JOVENES</t>
  </si>
  <si>
    <t>GENERACION DE BECAS</t>
  </si>
  <si>
    <t>19 BECAS</t>
  </si>
  <si>
    <t>REALIZACION DE TORNEO DEPORTIVO</t>
  </si>
  <si>
    <t>CURSOS DE VERANO</t>
  </si>
  <si>
    <t>70 ADOLESCENTES</t>
  </si>
  <si>
    <t>200 ADOLESCENTES</t>
  </si>
  <si>
    <t>REALIZACION DE EVENTO CULTURAL</t>
  </si>
  <si>
    <t>PAIDEA</t>
  </si>
  <si>
    <t>CONCIENTIZAR A LA POBLACION JOVEN RESPECTO A LOS RIESGOS Y CONSECUENCIAS DEL EMBARAZO TEMPRANO, ASI COMO ATENDER A LAS ADOLESCENTES EN GESTACION Y QUE YA SON MADRES, A FIN DE IDENTIFICAR Y DISMINUIR LOS RIESGOS OBSTETRICOS Y PROLONGAR EL PERIODO DE INTERGESTA, OFRECIENDO ALTERNATIVAS PARA UN MEJOR PROYECTO DE VIDA PERSONAL Y FAMILIAR</t>
  </si>
  <si>
    <t>PROPORCIONAR ELEMENTOS TEORICOS PRACTICOS QUE LE PERMITAN AL ADOLESCENTE TOMAR DESICIONES ASERTIVAS RESPECTO AL EJERCICIO RESPONSABLE DE SU SEXUALIDAD, BASADO PRINCIPALMENTE EN SUS VALORES Y DE ACUERDO A LAS METAS PERSONALES Y SU PROYECTO DE VIDA</t>
  </si>
  <si>
    <t xml:space="preserve">ATENDER A UN GRUPO CON 15 MADRES ADOLESCENTES  Y 15 GRUPOS DE SECUNDARIA CON UN TOTAL DE 500 ADOLESCENTES </t>
  </si>
  <si>
    <t>Numero de participantes / poblacion joven</t>
  </si>
  <si>
    <t>INTEGRACION DE GRUPOS</t>
  </si>
  <si>
    <t>16 GRUPOS CON 500 ADOLESCENTES</t>
  </si>
  <si>
    <t>GENERACION DE BECAS PROMAJOVEN</t>
  </si>
  <si>
    <t>20 BECAS</t>
  </si>
  <si>
    <t>CADI</t>
  </si>
  <si>
    <t>QUE LAS MADRES TRABAJADORAS CUENTEN CON AYUDA PARA SUS NIÑOS DESDE UNA EDAD TEMPRANA HASTA QUE TENGAN UNA EDAD APROXIMADA A LOS 5 AÑOS, DEJANDO A SUS HIJOS EN UN LUGAR SEGURO Y GRATO Y DONDE VAN A APRENDER DESDE SOCIALIZAR HASTA LEER Y ESCRIBIR</t>
  </si>
  <si>
    <t>Numero de becarios / madres trabajadoras</t>
  </si>
  <si>
    <t>ALIMENTOS</t>
  </si>
  <si>
    <t>NUMERO DE PROFESIONISTAS/NUMERO DE BECARIOS</t>
  </si>
  <si>
    <t>NUMERO DE BECARIOS/NUMERO DE PUPITRES</t>
  </si>
  <si>
    <t>PREVENCION, ATENCION, DESALIENTO, Y ERRADICACION DEL TRABAJO INFANTIL URBANO MARGINAL</t>
  </si>
  <si>
    <t>CREAR UN TALLER DE MANUALIDADES PARA MENORES QUE DESARROLLEN SUS ACTIVIDADES, ASI COMO ATENDER Y PREVENIR A LAS NIÑAS, NIÑOS Y ADOLESCENTES PARA QUE RECONOZCAN LOS RIESGOS QUE OCASIONA EL TRABAJO INFANTIL.</t>
  </si>
  <si>
    <t>QUE EN UN FUTURO CERCANO LAS NIÑAS, NIÑOS Y ADOLESCENTES PIERDAN EL INTERES  POR EL TRABAJO INFORMAL Y SE INTERESEN EN DESARROLLAR OTRAS ACTIVIDADES, QUE LLEVEN UNA VIDA SANA Y SEAN UN EJEMPLO PARA RESCATAR MAS NIÑOS DE LA CALLE SEMBRANDOLES DISCIPLINA Y AMOR A ELLOS MISMOS ELEVANDO SU AUTOESTIMA.</t>
  </si>
  <si>
    <t>4 GRUPOS DE 15 NIÑOS CADA UNO ATENDIENDO UN TOTAL DE 60 NIÑOS</t>
  </si>
  <si>
    <t>DIFUSORES DE LOS DERECHOS DE LA NIÑEZ</t>
  </si>
  <si>
    <t>QUE CADA VEZ UN NUMERO MAYOR DE NIÑOS Y NIÑAS SE INTEGREN AL GRUPO PARA QUE CONOZCAN SUS DERECHOS Y SUS OBLIGACIONES PARA QUE SU ENFOQUE SEA EN ACTIVIDADES SANAS Y RECREATIVAS</t>
  </si>
  <si>
    <t>ELABORAR UNFOLLETO DE DIFUSORES CON LA FINALIDAD DE INCREMENTAR LOS GRUPOS Y GENERAR REDES  DE APOYO PARA LOS NIÑOS PARA QUE SE FORMEN PERSONAS DE BIEN PARA LA SOCIEDAD.</t>
  </si>
  <si>
    <t>HACER QUE FUNCIONE AL 100%</t>
  </si>
  <si>
    <t>DIFUNDIR EL AMOR Y EL RESPETO EN LAS FAMILIAS  COMO MANERA DE INTEGRACION FAMILIAR</t>
  </si>
  <si>
    <t>GENERAR TALLERES PARA DARLE A SUS INTEGRANTES LA OPORTUNIDAD DE DESARROLLAR SUS HABILIDADES Y APOYAR AL FORTALECIMIENTO ECONOMICO DE SUS FAMILIAS, GENERANDO CON ELLO AUTOEMPLEO Y LO MAS IMPORTANTE UNA ELEVACION DE LA AUTOESTIMA DE LAS MUJERES VIOLENTADAS.</t>
  </si>
  <si>
    <t>ATENCION Y GENERACION DE PROCEDIMIENTOS  CONCILIATORIOS</t>
  </si>
  <si>
    <t>ATENCION Y GENERACION DE PROCEDIMIENTOS JURIDICOS</t>
  </si>
  <si>
    <t>ATENCION DE 2240 VICTIMAS DE VIOLENCIA</t>
  </si>
  <si>
    <t>CONSEJO MUNICIPAL DE FAMILIA</t>
  </si>
  <si>
    <t>PROPORCIONAR UNA FAMILIA  ESTABLE Y CALIFICADA A LOS NIÑOS Y NIÑAS ALBERGADOS EN CASA HOGAR,DISMINUIR EL NUMERO DE PERSONAS EN ESTADO DE VULNERABILIDAD, Y VELAR POR LOS INTERESES DE LOS NIÑOS Y NIÑAS, ADULTOS MAYORES Y/O PERSONAS INCAPACES VICTIMAS DEL DELITO.</t>
  </si>
  <si>
    <t>APOYAR A LOS NIÑOS (AS) EN LA SUPERACION DE SU PROBLEMÁTICA MEDIANTE SU ATENCION INTEGRAL EN EL AREA MEDICA, FISICA Y PSICOLOGICA, GENERAR TODO EL PROTOCOLO LEGAL PARA LIBERAR DE LA PATRIA POTESTAD A LOS NIÑOS HASTA ENTREGARLO EN ADOPCION A UNA FAMILIA ESTABLE Y CALIFICADA CON TODO EL APEGO A DERECHO.</t>
  </si>
  <si>
    <t>Numero de niños liberados/ Numero de niños por liberar</t>
  </si>
  <si>
    <t>EDICTOS</t>
  </si>
  <si>
    <t>INICIO DE PROTOCOLO LEGAL ASI COMO EDICTOS Y ENTREGA EN ADOPCION Y/O TUTELA A LOS NIÑOS QUE LEGALMENTE PUEDAN SER ENTREGADOS A UNA FAMILIA ESTABLE Y CALIFICADA.</t>
  </si>
  <si>
    <t>NUMERO DE NIÑOS LIBERADOS/NIÑOS CON PROBLEMAS DE TUTELA</t>
  </si>
  <si>
    <t>PROGRAMA DE ASISTENCIA ALIMENTARIA DIRECTA</t>
  </si>
  <si>
    <t>MEJORAR LA ALIMENTACION DE SUJETOS VULNERABLES DEL MUNICIPIO AL OTORGARLES DESPENSAS CON ALIMENTOS BASICOS Y PLATICAS DE ORIENTACION ALIMENTARIA QUE FOMENTEN LOS BUENOS HABITOS ALIMENTARIOS, PARA COADYUVAR A MEJORAR SU CALIDAD DE NUTRICION</t>
  </si>
  <si>
    <t>Numero de beneficiados/ población vulnerable</t>
  </si>
  <si>
    <t>NUMERO DE BENEFICIADOS/ POBLACION VULNERABLE</t>
  </si>
  <si>
    <t>DESAYUNOS ESCOLARES</t>
  </si>
  <si>
    <t xml:space="preserve">ATENDER A LA POBLACION ESCOLAR DE ENTRE 3 A 12 AÑOS  DE EDAD PROPORCIONANDOLES UN ALIMENTO DIARIO DURANTE LAS HORAS DE CLASE PARA QUE DE ESA MANERA PUEDAN TRABAJAR MEJOR </t>
  </si>
  <si>
    <t>SE MANEJAN 2 MODALIDADES: LA 1RA ES EL DESAYUNO FRIO QUE CONSTA DE: 250 ML DE LECHE, UNA PIEZA DE GALLETA Y UNA PIEZA DE FRUTA  Y LA 2DA: DESAYUNO CALIENTE: SE PRETENDE QUE LOS PADRES DE FAMILIA SE INVOLUCREN CON SUS HIJOS EN LA ESCUELA  Y CONSTA DE UN GUISO  PREPARADO POR LO PADRES DONDE UNA PARTE DE LOS INGREDIENTES LOS PONE DIF Y LA OTRA LOS PADRES DE FAMILIA</t>
  </si>
  <si>
    <t>Numero de beneficiados / estudiantes vulnerables</t>
  </si>
  <si>
    <t>RECEPCION-ENTREGA DE DESPENSAS Y FRUTAS</t>
  </si>
  <si>
    <t>NUMERO DE BENEFICIADOS/ESTUDIANTES VULNERABLE</t>
  </si>
  <si>
    <t>COMEDOR ASISTENCIAL</t>
  </si>
  <si>
    <t>MEJORAR LAS CONDICIONES DE VIDA DE LOS ADULTOS MAYORES EN DESAMPARO MEDIANTE UNA ALIMENTACION ADECUADA QUE DISMINUYA LOS INDICES DE DESNUTRICION ASI COMO ENFERMEDADES CRONICO-DEGENERATIVAS  ASOCIADAS A LA MALA ALIMENTACION</t>
  </si>
  <si>
    <t>QUE LOS ADULTOS MAYORES EN DESAMPARO ACUDAN AL COMEDOR ASISTENCIAL Y CONSUMAN ALIMENTOS DE CALIDAD A LA HORA DE LA COMIDA E INTEGRARLOS SOCIALMENTE POR MEDIO DE ACTIVIDADES RECREATIVAS</t>
  </si>
  <si>
    <t>Numero de participantes / población adulta</t>
  </si>
  <si>
    <t>NO EXISTE META YA QUE ES POR CONTINGENCIAS AMBIENTALES</t>
  </si>
  <si>
    <t>ATENCION A LA POBLACION EN CONDICIONES DE EMERGENCIA</t>
  </si>
  <si>
    <t>SER RECONOCIDO COMO UNA AREA RESPONSABLE EN LA IMPLEMENTACION DE PROGRAMAS Y ACTIVIDADES EN APEGO A LAS FASES DE PREVENCION, ATENCION, AUXILIO, Y SUPERACION ORIENTADAS A SALVAGUARDAR  LA INTEGRIDAD FISICA Y EMOCIONAL DE LAS PERSONAS, ASI COMO SUS BIENES EN CASO DE UNA EVENTUALIDAD</t>
  </si>
  <si>
    <t>SER UN DEPARTAMENTO DEL SISTEMA DIF TEPATITLAN CAPAZ DE ATENDER LAS NECESIDADES PRIORITARIAS DE LA POBLACION VULNERABLE A CUALQUIER EVENTO NATURAL  O PROVOCADO POR EL HOMBRE DE ACUERDO CON EL COMPROMISO ADQUIRIDO EN MATERIA DE PROTECCION CIVIL</t>
  </si>
  <si>
    <t>GENERACION DE REFUGIOS TEMPORALES</t>
  </si>
  <si>
    <t>GENERACION DE AL MENOS 12 REFUGIOS TEMPORALES</t>
  </si>
  <si>
    <t>PRESUPUESTO 2011/GASTO EJERCIDO 2011</t>
  </si>
  <si>
    <t>DESARROLLAR Y OPERAR LOS DIFERENTES PROGRAMAS DIF</t>
  </si>
  <si>
    <t>OPERACIÓN DIF</t>
  </si>
  <si>
    <t>QUE EL SISTEMA DIF TEPATITLAN SEA UN EJEMPLO DE OPERACIÓN DE SUS PROGRAMAS PARA LA POBLACION EN GENERAL, HACIENDOLO DE UNA MANERA TRANSPARENTE Y EFICIENTE</t>
  </si>
  <si>
    <t>ADMINISTRAR DESDE EL PERSONAL QUE LLEVA A CABO LA OPERACIÓN HASTA LOS INSUMOS QUE SE NECESITAN PARA LLEVAR A CABO LOS DIFERENTES PROGRAMAS DIF</t>
  </si>
  <si>
    <t>MANEJO DE PERSONAL</t>
  </si>
  <si>
    <t>OPERAR A UN 100% CON UN MINIMO DE PERSONAL</t>
  </si>
  <si>
    <t>LLEVAR A CABO TODOS LOS PROYECTOS</t>
  </si>
  <si>
    <t>GENERACION DE NUEVOS PROGRAMAS DE APOYO A LA GENTE MAS VULNERABLE</t>
  </si>
  <si>
    <t>GENERAR AL MENOS 2 PROYECTOS ANUALES</t>
  </si>
  <si>
    <t>OPERACIÓN DE BASES DE DATOS</t>
  </si>
  <si>
    <t>SUBSIDIO MUNICIPAL Y RECAUDACION PROPIA</t>
  </si>
  <si>
    <t>AGUINALDOS Y PRIMA VACA</t>
  </si>
  <si>
    <t>SEMESTRAL</t>
  </si>
  <si>
    <t>ATENDER A LA MAYOR PARTE DE LA POBLACION VULNERABLE</t>
  </si>
  <si>
    <t>RESUMEN DE PROYECTOS</t>
  </si>
  <si>
    <t>VARIAS</t>
  </si>
  <si>
    <t>PAGO SERVICIOS</t>
  </si>
  <si>
    <t>APCE</t>
  </si>
  <si>
    <t>NIÑOS TRABAJADORES</t>
  </si>
  <si>
    <t>PAAD</t>
  </si>
  <si>
    <t>UAVI</t>
  </si>
  <si>
    <t>URR</t>
  </si>
  <si>
    <t>SUBSIDIO MUNICIPAL/ INGRESOS PROPIOS</t>
  </si>
  <si>
    <t>MANTENIMIENTO EDIFICIOS, PAPELERIA, ENTREGA DE PRODUCTOS, ETC</t>
  </si>
  <si>
    <t>EVENTOS ESPECIALES</t>
  </si>
  <si>
    <t>SUBSIDIO MUNICIPAL Y PADRINOS DIF</t>
  </si>
  <si>
    <t>GASOLINA Y MANTENIMIENTO VEHICULOS</t>
  </si>
  <si>
    <t>GASTOS VARIOS MENORES</t>
  </si>
  <si>
    <t>QUINCENAL</t>
  </si>
  <si>
    <t>SE VAN A IR GENERANDO PAULATINAMENTE ESPACIOS PARA LOS ALUMNOS INICIANDO CON MATERNAL A Y POSTERIORMENTE CON MATERNAL B Y 1RO Y 2DO DE PREESCOLAR  PARA QUE EL 2012 YA EXISTA 3RO DE PREESCOLAR Y LACTANTES</t>
  </si>
  <si>
    <t>CONTAR CON 5 GRUPOS DE 25 NIÑOS C/U EN LAS ETAPAS DE MATERNAL A B Y 1ERO Y 2DO GRADO DE PREESCOLAR</t>
  </si>
  <si>
    <t>DARLE ALIMENTOS A 90 NIÑOS</t>
  </si>
  <si>
    <t>Que en el 2012 nuestros servicios se vean reflejados en la calidad de vidad de las personas, por ese motivo se incremento la partida de eventos especiales a este rubro para darle certeza a este gasto.</t>
  </si>
  <si>
    <t>$ PAGADO 2012 / $ PAGADO 2011</t>
  </si>
  <si>
    <t>presupuesto 2012 / gasto ejercido 2012</t>
  </si>
  <si>
    <t>PRESUPUESTO 2012/GASTO EJERCIDO 2012</t>
  </si>
  <si>
    <t>PRESENTACION DE 10 PROYECTOS</t>
  </si>
  <si>
    <t>APROBACION DE 10 PROYECTOS</t>
  </si>
  <si>
    <t>ENTREGAR 945 DESPENSAS MENSUALES</t>
  </si>
  <si>
    <t>ENTREGAR 11340 DESPENSAS EN UN AÑO</t>
  </si>
  <si>
    <t>ATENCION A 90 PROCEDIMIENTOS JURIDICOS</t>
  </si>
  <si>
    <t>PRESUPUESTO 2012/GASTO 2012</t>
  </si>
  <si>
    <t>COMEDOR</t>
  </si>
  <si>
    <t>DIFUSORES DE LA NIÑEZ</t>
  </si>
  <si>
    <t>PAPELERIA Y ARTICULOS DE OF</t>
  </si>
  <si>
    <t>MANT. DEL EQUIPO DE TRANSP</t>
  </si>
  <si>
    <t>SERVICIOS GENERALES</t>
  </si>
  <si>
    <t>% INCRE</t>
  </si>
  <si>
    <t>DESGLOSE DE INGRESOS:</t>
  </si>
  <si>
    <t xml:space="preserve">B) INGRESOS PROPIOS: ………………………………………    </t>
  </si>
  <si>
    <t xml:space="preserve">C) INGRESOS VARIOS:…………………………………………   </t>
  </si>
  <si>
    <t>A) SUBSIDIO MUNICIPAL:…………………………………..$ 5'781,000.00</t>
  </si>
  <si>
    <t>VARIOS</t>
  </si>
  <si>
    <t>100 personas</t>
  </si>
  <si>
    <t>VEHICULOS NUEVOS</t>
  </si>
  <si>
    <t>ELABORACION  DE ALIMENTOS</t>
  </si>
  <si>
    <t>COORDINAR EVENTOS PARA INTEGRAR A UN MAYOR NUMERO DE NIÑOS A TALLERES</t>
  </si>
  <si>
    <t>PRESENTACION DE 05 PROYECTOS</t>
  </si>
  <si>
    <t>LIBERAR DE LA PATRIA POTESTADA A NIÑOS Y OTORGAR  NIÑOS EN ADOPCION</t>
  </si>
  <si>
    <t>4 PROFESIONISTAS</t>
  </si>
  <si>
    <t>SEGURIDAD DE LOS MENORES</t>
  </si>
  <si>
    <t>CONTRA ROBOS Y/O MALTRATOS</t>
  </si>
  <si>
    <t>NUMERO DE BENEFICIARIOS</t>
  </si>
  <si>
    <t>ATENDER A 2,300 VICTIMAS DE LA VIOLENCIA INTRAFAMILIAR COMO MINIMO</t>
  </si>
  <si>
    <t>BATAS, PARA PSICOLOGOS</t>
  </si>
  <si>
    <t>UNIFORMAR AL PERSONAL Y COMPRAR COPIADORA  PARA EXPEDIENTES</t>
  </si>
  <si>
    <t>MECANOTERAPIA Y ESTIMULACION TEMPRANA, HIDROTERAPIA, ELECTROTERAPIA, PSCOLOGIA Y ESTIMULACION TEMPRANA, TERAPIA DE LENGUAJE, VALORACIONES MEDICAS</t>
  </si>
  <si>
    <t xml:space="preserve">ATENDER A 33,000 PERSONAS </t>
  </si>
  <si>
    <t>ATENDER A 33,000 PERSONAS QUE NECESITAN REHABILITACION INTEGRAL</t>
  </si>
  <si>
    <t>MANTENIMIENTO Y CONSERVACION,APOYOS PARA PROTESIS, CAPACITACION</t>
  </si>
  <si>
    <t>GENERAR 100 AYUDAS PARA LAS PERSONAS MAS VULNERABLES</t>
  </si>
  <si>
    <t>GENERACION DE 100 AYUDAS</t>
  </si>
  <si>
    <t>GENERAR AL MENOS 10 AYUDAS MENSUALES</t>
  </si>
  <si>
    <t>GENERACION DE PLATICAS DE PREVENCION Y TRIPTICOS</t>
  </si>
  <si>
    <t>RECAUDACION PROPIA</t>
  </si>
  <si>
    <t>ATENCION AL ADULTO MAYOR</t>
  </si>
  <si>
    <t>BRINDAR UN ESPACIO EN DONDE EL ADULTO MAYOR PROMUEVA SUS HABILIADADES Y SE RECONOZCA COMO PERSONA UTIL, BRINDANDOLE LA ATENCION PARA QUE AUMENTE SU CALIDAD DE VIDA</t>
  </si>
  <si>
    <t>PROMOVER LOS VALORES DE LA FAMILIA CONCIENTIZANDO EL VALOR QUE REPRESENTA EL ADULTO MAYOR DENTRO DE LA SOCIEDAD, LA CUAL SENSIBILIZA Y ES EL EJEMPLO EN LA CONSTRUCCION DE LA NUESTRA COMUNIDAD</t>
  </si>
  <si>
    <t>TALLER PASTAFLEX</t>
  </si>
  <si>
    <t>TALLER PINTURA TEXTIL</t>
  </si>
  <si>
    <t>ATENDER A 80 ADULTOS MAYORES</t>
  </si>
  <si>
    <t>TALLERES DE YOGA, FILIGRANA, DANZA FOLKLORICA, CORO, TABLA RITMICA</t>
  </si>
  <si>
    <t>1 VEZ POR SEMANA</t>
  </si>
  <si>
    <t>DE UNA A DOS VECES POR SEMANA</t>
  </si>
  <si>
    <t>CERTAMEN DE REYNA TERCERA EDAD</t>
  </si>
  <si>
    <t>PROMOCION DE TALLERES</t>
  </si>
  <si>
    <t>Numero de participantes / Adulto mayor</t>
  </si>
  <si>
    <t>JORNADA CULTURAL Y DEPORTIVA</t>
  </si>
  <si>
    <t>PROALIMNE</t>
  </si>
  <si>
    <t>ATENDER A 400 PERSONAS EN EL MUNICIPIO</t>
  </si>
  <si>
    <t>ADULTO MAYOR</t>
  </si>
  <si>
    <t>ENTREGAR 500,000 DESAYUNOS A 111 ESCUELAS Y 65 COMUNIDADES DE NUESTRO MUNICIPIO</t>
  </si>
  <si>
    <t>ENTREGAR 41,000 DESAYUNOS POR MES</t>
  </si>
  <si>
    <t>ENTREGAR AL MENOS 11340 DESPENSAS A 945 FAMILIAS QUE LO NECESITAN DURANTE EL AÑO 2013, TANTO DENTRO DEL MUNICIPIO COMO EN LAS DELEGACIONES</t>
  </si>
  <si>
    <t>GENERACION DEL PADRON Y ENTREGA DE DESPENSAS Y ENTREGAS</t>
  </si>
  <si>
    <t>ENTREGA DE 12,000 RACIONES DE COMIDA EN EL AÑO</t>
  </si>
  <si>
    <t>HACER 1,000 RACIONES DE COMIDA A UN NUMERO DE 50 BENEFICIADOS</t>
  </si>
  <si>
    <t>SISTEMA PARA EL DESARROLLO INTEGRAL DE LA FAMILIA DEL MUNICIPIO DE TEPATITLAN DE MORELOS   2013</t>
  </si>
  <si>
    <t xml:space="preserve">SISTEMA PARA EL DESARROLLO INTEGRAL DE LA FAMILIA DEL MUNICIPIO DE TEPATITLAN DE MORELOS   </t>
  </si>
  <si>
    <t>LIBERACION DE  NIÑOS</t>
  </si>
  <si>
    <t>LIBERAR A  NIÑOS Y ENTREGAR  NIÑOS EN ADOPCION</t>
  </si>
  <si>
    <t>CONSECUTIVO</t>
  </si>
  <si>
    <t>3100-311</t>
  </si>
  <si>
    <t>3100-317</t>
  </si>
  <si>
    <t>3100-318</t>
  </si>
  <si>
    <t>3100-313</t>
  </si>
  <si>
    <t>3200-322</t>
  </si>
  <si>
    <t>3400-347</t>
  </si>
  <si>
    <t>3400-345</t>
  </si>
  <si>
    <t>3900-392</t>
  </si>
  <si>
    <t>3800-382</t>
  </si>
  <si>
    <t>2600-261</t>
  </si>
  <si>
    <t>2100-211</t>
  </si>
  <si>
    <t>3500-355</t>
  </si>
  <si>
    <t>1300-132</t>
  </si>
  <si>
    <t>3300-336</t>
  </si>
  <si>
    <t>1100-113</t>
  </si>
  <si>
    <t>2200-221</t>
  </si>
  <si>
    <t>2100-217</t>
  </si>
  <si>
    <t>3800-383</t>
  </si>
  <si>
    <t>3600-361</t>
  </si>
  <si>
    <t>360-363</t>
  </si>
  <si>
    <t>2100-215</t>
  </si>
  <si>
    <t>2900-295</t>
  </si>
  <si>
    <t>3300-334</t>
  </si>
  <si>
    <t>3600-369</t>
  </si>
  <si>
    <t>$ 2013 / $ 2012</t>
  </si>
  <si>
    <t>KW 2013 /KW 2012</t>
  </si>
  <si>
    <t>3100-314Y315</t>
  </si>
  <si>
    <t>3700-372Y 375/3800-383/5900-591</t>
  </si>
  <si>
    <t>3900-395Y399</t>
  </si>
  <si>
    <t>3500/6100</t>
  </si>
  <si>
    <t>5400-541,542Y549</t>
  </si>
  <si>
    <t>3700-372Y375</t>
  </si>
  <si>
    <t>4400-441/4800-481</t>
  </si>
  <si>
    <t>7900-791Y799</t>
  </si>
  <si>
    <t>5100-519/2700-271</t>
  </si>
  <si>
    <t>4800-481/4400-441/3900-399</t>
  </si>
  <si>
    <t>1500-155/5300-532</t>
  </si>
  <si>
    <t>2100-211/3700-375</t>
  </si>
  <si>
    <t>3600-362/3700-375/2100-211</t>
  </si>
  <si>
    <t>5600-569/3300-388/3500-359/3600-369</t>
  </si>
  <si>
    <t>3600-363/2100-211</t>
  </si>
  <si>
    <t>3700-372/3700-375</t>
  </si>
  <si>
    <t>PRESUPUESTO DE EGRESOS 2013</t>
  </si>
  <si>
    <t>SERVICIOS A LA COMUNIDAD</t>
  </si>
  <si>
    <t>SERVICIOS A LA COMUNIDAD EN TALLERES</t>
  </si>
  <si>
    <t>SERVICOS A LA COMUNIDAD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</si>
</sst>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 &quot;€&quot;_-;\-* #,##0.00\ &quot;€&quot;_-;_-* &quot;-&quot;??\ &quot;€&quot;_-;_-@_-"/>
    <numFmt numFmtId="165" formatCode="d\-m\-yyyy"/>
    <numFmt numFmtId="166" formatCode="_(\$* #,##0.00_);_(\$* \(#,##0.0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1"/>
      <color indexed="8"/>
      <name val="Calibri"/>
      <family val="2"/>
    </font>
    <font>
      <sz val="10"/>
      <color indexed="8"/>
      <name val="Arial"/>
      <family val="2"/>
    </font>
    <font>
      <b/>
      <sz val="9"/>
      <color theme="1"/>
      <name val="Calibri"/>
      <family val="2"/>
      <scheme val="minor"/>
    </font>
    <font>
      <sz val="9"/>
      <color theme="1"/>
      <name val="Calibri"/>
      <family val="2"/>
      <scheme val="minor"/>
    </font>
    <font>
      <b/>
      <sz val="9"/>
      <color theme="1"/>
      <name val="Calibri"/>
      <family val="2"/>
    </font>
    <font>
      <sz val="9"/>
      <color theme="1"/>
      <name val="Calibri"/>
      <family val="2"/>
    </font>
    <font>
      <b/>
      <sz val="11"/>
      <color theme="1"/>
      <name val="Calibri"/>
      <family val="2"/>
    </font>
    <font>
      <b/>
      <sz val="14"/>
      <color rgb="FFC00000"/>
      <name val="Calibri"/>
      <family val="2"/>
    </font>
    <font>
      <b/>
      <sz val="11"/>
      <color rgb="FFFF0000"/>
      <name val="Calibri"/>
      <family val="2"/>
      <scheme val="minor"/>
    </font>
    <font>
      <sz val="9"/>
      <color theme="1"/>
      <name val="Calibri"/>
      <family val="2"/>
      <scheme val="minor"/>
    </font>
    <font>
      <b/>
      <sz val="9"/>
      <color theme="1"/>
      <name val="Calibri"/>
      <family val="2"/>
      <scheme val="minor"/>
    </font>
    <font>
      <sz val="9"/>
      <color theme="1"/>
      <name val="Calibri"/>
      <family val="2"/>
    </font>
    <font>
      <sz val="8"/>
      <color indexed="81"/>
      <name val="Tahoma"/>
      <family val="2"/>
    </font>
    <font>
      <b/>
      <sz val="8"/>
      <color indexed="81"/>
      <name val="Tahoma"/>
      <family val="2"/>
    </font>
    <font>
      <sz val="10"/>
      <name val="Arial"/>
      <family val="2"/>
    </font>
    <font>
      <sz val="10"/>
      <name val="Arial"/>
      <family val="2"/>
    </font>
    <font>
      <b/>
      <sz val="9"/>
      <color indexed="81"/>
      <name val="Tahoma"/>
      <family val="2"/>
    </font>
    <font>
      <sz val="9"/>
      <color indexed="81"/>
      <name val="Tahoma"/>
      <family val="2"/>
    </font>
    <font>
      <sz val="9"/>
      <color theme="6" tint="0.39997558519241921"/>
      <name val="Calibri"/>
      <family val="2"/>
      <scheme val="minor"/>
    </font>
    <font>
      <b/>
      <sz val="10"/>
      <color theme="1"/>
      <name val="Aharoni"/>
      <charset val="177"/>
    </font>
    <font>
      <sz val="22"/>
      <color theme="1"/>
      <name val="Aharoni"/>
      <charset val="177"/>
    </font>
    <font>
      <b/>
      <sz val="22"/>
      <color theme="1"/>
      <name val="Aharoni"/>
      <charset val="177"/>
    </font>
    <font>
      <sz val="9"/>
      <color theme="1"/>
      <name val="Calibri"/>
      <family val="2"/>
      <scheme val="minor"/>
    </font>
    <font>
      <b/>
      <sz val="9"/>
      <color theme="1"/>
      <name val="Calibri"/>
      <family val="2"/>
      <scheme val="minor"/>
    </font>
    <font>
      <sz val="9"/>
      <color rgb="FF000000"/>
      <name val="Calibri"/>
      <family val="2"/>
    </font>
    <font>
      <sz val="9"/>
      <color theme="1"/>
      <name val="Calibri"/>
      <family val="2"/>
    </font>
    <font>
      <sz val="9"/>
      <color theme="1"/>
      <name val="Calibri"/>
      <scheme val="minor"/>
    </font>
    <font>
      <b/>
      <sz val="9"/>
      <color theme="1"/>
      <name val="Calibri"/>
      <scheme val="minor"/>
    </font>
    <font>
      <sz val="9"/>
      <color rgb="FF000000"/>
      <name val="Calibri"/>
    </font>
    <font>
      <sz val="9"/>
      <color theme="1"/>
      <name val="Calibri"/>
    </font>
  </fonts>
  <fills count="9">
    <fill>
      <patternFill patternType="none"/>
    </fill>
    <fill>
      <patternFill patternType="gray125"/>
    </fill>
    <fill>
      <patternFill patternType="solid">
        <fgColor indexed="22"/>
        <bgColor indexed="0"/>
      </patternFill>
    </fill>
    <fill>
      <patternFill patternType="solid">
        <fgColor rgb="FFFFC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theme="6" tint="0.79998168889431442"/>
      </patternFill>
    </fill>
    <fill>
      <patternFill patternType="solid">
        <fgColor rgb="FFFFFF00"/>
        <bgColor indexed="64"/>
      </patternFill>
    </fill>
  </fills>
  <borders count="29">
    <border>
      <left/>
      <right/>
      <top/>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theme="1" tint="0.34998626667073579"/>
      </top>
      <bottom/>
      <diagonal/>
    </border>
    <border>
      <left/>
      <right/>
      <top/>
      <bottom style="hair">
        <color theme="1" tint="0.34998626667073579"/>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right/>
      <top style="double">
        <color theme="3" tint="0.39988402966399123"/>
      </top>
      <bottom/>
      <diagonal/>
    </border>
    <border>
      <left style="thin">
        <color theme="3" tint="0.39991454817346722"/>
      </left>
      <right style="thin">
        <color theme="3" tint="0.39991454817346722"/>
      </right>
      <top style="double">
        <color theme="3" tint="0.39988402966399123"/>
      </top>
      <bottom style="thin">
        <color theme="3" tint="0.39991454817346722"/>
      </bottom>
      <diagonal/>
    </border>
    <border>
      <left style="hair">
        <color theme="6" tint="-0.499984740745262"/>
      </left>
      <right/>
      <top style="hair">
        <color theme="6" tint="-0.499984740745262"/>
      </top>
      <bottom style="hair">
        <color theme="6" tint="-0.499984740745262"/>
      </bottom>
      <diagonal/>
    </border>
    <border>
      <left/>
      <right style="hair">
        <color theme="6" tint="-0.499984740745262"/>
      </right>
      <top style="hair">
        <color theme="6" tint="-0.499984740745262"/>
      </top>
      <bottom style="hair">
        <color theme="6" tint="-0.499984740745262"/>
      </bottom>
      <diagonal/>
    </border>
    <border>
      <left style="hair">
        <color rgb="FFC00000"/>
      </left>
      <right style="hair">
        <color rgb="FFC00000"/>
      </right>
      <top style="hair">
        <color rgb="FFC00000"/>
      </top>
      <bottom style="hair">
        <color rgb="FFC00000"/>
      </bottom>
      <diagonal/>
    </border>
    <border>
      <left style="thin">
        <color theme="3" tint="0.39994506668294322"/>
      </left>
      <right style="thin">
        <color theme="3" tint="0.39994506668294322"/>
      </right>
      <top style="thin">
        <color theme="3" tint="0.39994506668294322"/>
      </top>
      <bottom style="thin">
        <color theme="6"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1" tint="0.34998626667073579"/>
      </left>
      <right/>
      <top/>
      <bottom/>
      <diagonal/>
    </border>
    <border>
      <left style="hair">
        <color auto="1"/>
      </left>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bottom/>
      <diagonal/>
    </border>
    <border>
      <left/>
      <right/>
      <top style="double">
        <color rgb="FF538ED5"/>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6" fillId="0" borderId="0"/>
    <xf numFmtId="0" fontId="19" fillId="0" borderId="0"/>
    <xf numFmtId="0" fontId="20" fillId="0" borderId="0"/>
  </cellStyleXfs>
  <cellXfs count="185">
    <xf numFmtId="0" fontId="0" fillId="0" borderId="0" xfId="0"/>
    <xf numFmtId="0" fontId="4" fillId="2" borderId="9" xfId="3" applyFont="1" applyFill="1" applyBorder="1" applyAlignment="1">
      <alignment horizontal="center"/>
    </xf>
    <xf numFmtId="0" fontId="4" fillId="0" borderId="10" xfId="3" applyFont="1" applyFill="1" applyBorder="1" applyAlignment="1">
      <alignment wrapText="1"/>
    </xf>
    <xf numFmtId="0" fontId="5" fillId="2" borderId="11" xfId="3" applyFont="1" applyFill="1" applyBorder="1" applyAlignment="1">
      <alignment horizontal="center"/>
    </xf>
    <xf numFmtId="0" fontId="5" fillId="0" borderId="12" xfId="3" applyFont="1" applyFill="1" applyBorder="1" applyAlignment="1">
      <alignment wrapText="1"/>
    </xf>
    <xf numFmtId="0" fontId="5" fillId="2" borderId="9" xfId="4" applyFont="1" applyFill="1" applyBorder="1" applyAlignment="1">
      <alignment horizontal="center"/>
    </xf>
    <xf numFmtId="0" fontId="5" fillId="0" borderId="10" xfId="4" applyFont="1" applyFill="1" applyBorder="1" applyAlignment="1">
      <alignment wrapText="1"/>
    </xf>
    <xf numFmtId="0" fontId="8" fillId="0" borderId="0" xfId="0" applyFont="1" applyAlignment="1"/>
    <xf numFmtId="0" fontId="8" fillId="0" borderId="0" xfId="0" applyFont="1"/>
    <xf numFmtId="0" fontId="7" fillId="0" borderId="0" xfId="0" applyFont="1" applyAlignment="1">
      <alignment horizontal="left" vertical="top"/>
    </xf>
    <xf numFmtId="0" fontId="8" fillId="0" borderId="0" xfId="0" applyFont="1" applyAlignment="1">
      <alignment vertical="center"/>
    </xf>
    <xf numFmtId="0" fontId="8" fillId="0" borderId="0" xfId="0" applyFont="1" applyBorder="1" applyAlignment="1"/>
    <xf numFmtId="0" fontId="8" fillId="0" borderId="8" xfId="0" applyFont="1" applyBorder="1" applyAlignment="1"/>
    <xf numFmtId="0" fontId="8" fillId="0" borderId="2" xfId="0" applyFont="1" applyBorder="1" applyAlignment="1"/>
    <xf numFmtId="0" fontId="8" fillId="0" borderId="0" xfId="0" applyFont="1" applyAlignment="1">
      <alignment vertical="top"/>
    </xf>
    <xf numFmtId="0" fontId="8" fillId="0" borderId="7" xfId="0" applyFont="1" applyBorder="1" applyAlignment="1"/>
    <xf numFmtId="0" fontId="7" fillId="0" borderId="13" xfId="0" applyFont="1" applyBorder="1" applyAlignment="1">
      <alignment horizontal="center" vertical="center" wrapText="1"/>
    </xf>
    <xf numFmtId="0" fontId="7" fillId="0" borderId="0" xfId="0" applyFont="1" applyAlignment="1">
      <alignment horizontal="center" vertical="center"/>
    </xf>
    <xf numFmtId="14" fontId="8" fillId="0" borderId="13" xfId="0" applyNumberFormat="1" applyFont="1" applyBorder="1" applyAlignment="1" applyProtection="1">
      <alignment wrapText="1"/>
      <protection locked="0"/>
    </xf>
    <xf numFmtId="0" fontId="8" fillId="0" borderId="13" xfId="0" applyFont="1" applyBorder="1" applyAlignment="1" applyProtection="1">
      <alignment wrapText="1"/>
      <protection locked="0"/>
    </xf>
    <xf numFmtId="164" fontId="8" fillId="0" borderId="13" xfId="0" applyNumberFormat="1" applyFont="1" applyBorder="1" applyAlignment="1" applyProtection="1">
      <alignment wrapText="1"/>
      <protection locked="0"/>
    </xf>
    <xf numFmtId="0" fontId="10" fillId="0" borderId="0" xfId="0" applyFont="1" applyAlignment="1" applyProtection="1"/>
    <xf numFmtId="0" fontId="10" fillId="0" borderId="0" xfId="0" applyFont="1" applyProtection="1"/>
    <xf numFmtId="0" fontId="9" fillId="0" borderId="0" xfId="0" applyFont="1" applyAlignment="1" applyProtection="1">
      <alignment horizontal="left" vertical="top"/>
    </xf>
    <xf numFmtId="0" fontId="10" fillId="0" borderId="0" xfId="0" applyFont="1" applyAlignment="1" applyProtection="1">
      <alignment vertical="center"/>
    </xf>
    <xf numFmtId="0" fontId="10" fillId="0" borderId="0" xfId="0" applyFont="1" applyBorder="1" applyAlignment="1" applyProtection="1"/>
    <xf numFmtId="0" fontId="10" fillId="0" borderId="8" xfId="0" applyFont="1" applyBorder="1" applyAlignment="1" applyProtection="1"/>
    <xf numFmtId="0" fontId="10" fillId="0" borderId="2" xfId="0" applyFont="1" applyBorder="1" applyAlignment="1" applyProtection="1"/>
    <xf numFmtId="0" fontId="10" fillId="0" borderId="0" xfId="0" applyFont="1" applyAlignment="1" applyProtection="1">
      <alignment vertical="top"/>
    </xf>
    <xf numFmtId="0" fontId="10" fillId="0" borderId="7" xfId="0" applyFont="1" applyBorder="1" applyAlignment="1" applyProtection="1"/>
    <xf numFmtId="0" fontId="9" fillId="0" borderId="13" xfId="0" applyFont="1" applyBorder="1" applyAlignment="1" applyProtection="1">
      <alignment horizontal="center" vertical="center" wrapText="1"/>
    </xf>
    <xf numFmtId="0" fontId="9" fillId="0" borderId="0" xfId="0" applyFont="1" applyAlignment="1" applyProtection="1">
      <alignment horizontal="center" vertical="center"/>
    </xf>
    <xf numFmtId="14" fontId="10" fillId="0" borderId="15" xfId="0" applyNumberFormat="1" applyFont="1" applyBorder="1" applyProtection="1"/>
    <xf numFmtId="0" fontId="10" fillId="0" borderId="15" xfId="0" applyFont="1" applyBorder="1" applyProtection="1"/>
    <xf numFmtId="164" fontId="10" fillId="0" borderId="15" xfId="0" applyNumberFormat="1" applyFont="1" applyBorder="1" applyProtection="1"/>
    <xf numFmtId="164" fontId="9" fillId="0" borderId="16" xfId="0" applyNumberFormat="1" applyFont="1" applyBorder="1" applyProtection="1"/>
    <xf numFmtId="43" fontId="8" fillId="0" borderId="13" xfId="1" applyFont="1" applyBorder="1" applyAlignment="1">
      <alignment wrapText="1"/>
    </xf>
    <xf numFmtId="43" fontId="8" fillId="0" borderId="13" xfId="1" applyFont="1" applyBorder="1" applyAlignment="1" applyProtection="1">
      <alignment wrapText="1"/>
      <protection locked="0"/>
    </xf>
    <xf numFmtId="0" fontId="10" fillId="0" borderId="0" xfId="0" applyFont="1" applyAlignment="1" applyProtection="1">
      <alignment horizontal="center" vertical="center"/>
    </xf>
    <xf numFmtId="0" fontId="12" fillId="5" borderId="19" xfId="0" applyFont="1" applyFill="1" applyBorder="1" applyAlignment="1" applyProtection="1">
      <alignment horizontal="center" vertical="center"/>
    </xf>
    <xf numFmtId="0" fontId="12" fillId="5" borderId="19" xfId="0" applyFont="1" applyFill="1" applyBorder="1" applyAlignment="1" applyProtection="1">
      <alignment horizontal="center" vertical="center"/>
      <protection locked="0"/>
    </xf>
    <xf numFmtId="0" fontId="10" fillId="0" borderId="13" xfId="0" applyFont="1" applyBorder="1" applyAlignment="1" applyProtection="1">
      <alignment vertical="top" wrapText="1"/>
    </xf>
    <xf numFmtId="43" fontId="10" fillId="0" borderId="13" xfId="1" applyFont="1" applyBorder="1" applyAlignment="1" applyProtection="1">
      <alignment vertical="top" wrapText="1"/>
    </xf>
    <xf numFmtId="44" fontId="10" fillId="0" borderId="13" xfId="2" applyFont="1" applyBorder="1" applyAlignment="1" applyProtection="1">
      <alignment vertical="top" wrapText="1"/>
    </xf>
    <xf numFmtId="0" fontId="10" fillId="0" borderId="14" xfId="0" applyFont="1" applyBorder="1" applyAlignment="1" applyProtection="1">
      <alignment vertical="top" wrapText="1"/>
    </xf>
    <xf numFmtId="43" fontId="10" fillId="0" borderId="14" xfId="1" applyFont="1" applyBorder="1" applyAlignment="1" applyProtection="1">
      <alignment vertical="top" wrapText="1"/>
    </xf>
    <xf numFmtId="44" fontId="10" fillId="0" borderId="14" xfId="2" applyFont="1" applyBorder="1" applyAlignment="1" applyProtection="1">
      <alignment vertical="top" wrapText="1"/>
    </xf>
    <xf numFmtId="14" fontId="10" fillId="0" borderId="13" xfId="0" applyNumberFormat="1" applyFont="1" applyBorder="1" applyAlignment="1" applyProtection="1">
      <alignment vertical="top"/>
    </xf>
    <xf numFmtId="165" fontId="10" fillId="0" borderId="13" xfId="0" applyNumberFormat="1" applyFont="1" applyBorder="1" applyAlignment="1" applyProtection="1">
      <alignment vertical="top"/>
    </xf>
    <xf numFmtId="165" fontId="10" fillId="0" borderId="14" xfId="0" applyNumberFormat="1" applyFont="1" applyBorder="1" applyAlignment="1" applyProtection="1">
      <alignment vertical="top"/>
    </xf>
    <xf numFmtId="0" fontId="10" fillId="0" borderId="13" xfId="0" applyFont="1" applyBorder="1" applyAlignment="1" applyProtection="1">
      <alignment vertical="top"/>
    </xf>
    <xf numFmtId="164" fontId="10" fillId="0" borderId="13" xfId="0" applyNumberFormat="1" applyFont="1" applyBorder="1" applyAlignment="1" applyProtection="1">
      <alignment vertical="top"/>
    </xf>
    <xf numFmtId="0" fontId="10" fillId="0" borderId="14" xfId="0" applyFont="1" applyBorder="1" applyAlignment="1" applyProtection="1">
      <alignment vertical="top"/>
    </xf>
    <xf numFmtId="166" fontId="10" fillId="0" borderId="14" xfId="0" applyNumberFormat="1" applyFont="1" applyBorder="1" applyAlignment="1" applyProtection="1">
      <alignment vertical="top"/>
    </xf>
    <xf numFmtId="164" fontId="10" fillId="0" borderId="14" xfId="0" applyNumberFormat="1" applyFont="1" applyBorder="1" applyAlignment="1" applyProtection="1">
      <alignment vertical="top"/>
    </xf>
    <xf numFmtId="44" fontId="10" fillId="0" borderId="16" xfId="0" applyNumberFormat="1" applyFont="1" applyBorder="1" applyProtection="1"/>
    <xf numFmtId="0" fontId="8" fillId="0" borderId="0" xfId="0" applyFont="1" applyFill="1" applyBorder="1" applyAlignment="1" applyProtection="1">
      <alignment vertical="center"/>
      <protection locked="0"/>
    </xf>
    <xf numFmtId="0" fontId="0" fillId="0" borderId="0" xfId="0" applyAlignment="1">
      <alignment wrapText="1"/>
    </xf>
    <xf numFmtId="0" fontId="13" fillId="0" borderId="0" xfId="0" applyFont="1" applyAlignment="1">
      <alignment horizontal="center" wrapText="1"/>
    </xf>
    <xf numFmtId="0" fontId="14" fillId="0" borderId="14" xfId="0" applyFont="1" applyBorder="1" applyAlignment="1" applyProtection="1">
      <alignment wrapText="1"/>
      <protection locked="0"/>
    </xf>
    <xf numFmtId="43" fontId="14" fillId="0" borderId="14" xfId="1" applyFont="1" applyBorder="1" applyAlignment="1" applyProtection="1">
      <alignment wrapText="1"/>
      <protection locked="0"/>
    </xf>
    <xf numFmtId="0" fontId="8" fillId="0" borderId="13" xfId="0" applyFont="1" applyBorder="1" applyAlignment="1">
      <alignment horizontal="center" vertical="center" wrapText="1"/>
    </xf>
    <xf numFmtId="165" fontId="8" fillId="0" borderId="14" xfId="0" applyNumberFormat="1" applyFont="1" applyBorder="1" applyAlignment="1" applyProtection="1">
      <alignment wrapText="1"/>
      <protection locked="0"/>
    </xf>
    <xf numFmtId="0" fontId="8" fillId="0" borderId="14" xfId="0" applyFont="1" applyBorder="1" applyAlignment="1" applyProtection="1">
      <alignment wrapText="1"/>
      <protection locked="0"/>
    </xf>
    <xf numFmtId="166" fontId="8" fillId="0" borderId="14" xfId="0" applyNumberFormat="1" applyFont="1" applyBorder="1" applyAlignment="1" applyProtection="1">
      <alignment wrapText="1"/>
      <protection locked="0"/>
    </xf>
    <xf numFmtId="3" fontId="14" fillId="0" borderId="14" xfId="0" applyNumberFormat="1" applyFont="1" applyBorder="1" applyAlignment="1" applyProtection="1">
      <alignment wrapText="1"/>
      <protection locked="0"/>
    </xf>
    <xf numFmtId="3" fontId="8" fillId="0" borderId="13" xfId="0" applyNumberFormat="1" applyFont="1" applyBorder="1" applyAlignment="1" applyProtection="1">
      <alignment wrapText="1"/>
      <protection locked="0"/>
    </xf>
    <xf numFmtId="14" fontId="14" fillId="0" borderId="15" xfId="0" applyNumberFormat="1" applyFont="1" applyBorder="1"/>
    <xf numFmtId="0" fontId="14" fillId="0" borderId="15" xfId="0" applyFont="1" applyBorder="1"/>
    <xf numFmtId="164" fontId="14" fillId="0" borderId="15" xfId="0" applyNumberFormat="1" applyFont="1" applyBorder="1"/>
    <xf numFmtId="164" fontId="15" fillId="0" borderId="16" xfId="0" applyNumberFormat="1" applyFont="1" applyBorder="1"/>
    <xf numFmtId="43" fontId="14" fillId="0" borderId="16" xfId="0" applyNumberFormat="1" applyFont="1" applyBorder="1"/>
    <xf numFmtId="165" fontId="14" fillId="0" borderId="14" xfId="0" applyNumberFormat="1" applyFont="1" applyBorder="1" applyAlignment="1" applyProtection="1">
      <alignment wrapText="1"/>
      <protection locked="0"/>
    </xf>
    <xf numFmtId="166" fontId="14" fillId="0" borderId="14" xfId="0" applyNumberFormat="1" applyFont="1" applyBorder="1" applyAlignment="1" applyProtection="1">
      <alignment wrapText="1"/>
      <protection locked="0"/>
    </xf>
    <xf numFmtId="43" fontId="14" fillId="0" borderId="14" xfId="1" applyFont="1" applyBorder="1" applyAlignment="1">
      <alignment wrapText="1"/>
    </xf>
    <xf numFmtId="165" fontId="16" fillId="0" borderId="14" xfId="0" applyNumberFormat="1" applyFont="1" applyBorder="1" applyAlignment="1" applyProtection="1">
      <alignment vertical="top"/>
    </xf>
    <xf numFmtId="0" fontId="16" fillId="0" borderId="14" xfId="0" applyFont="1" applyBorder="1" applyAlignment="1" applyProtection="1">
      <alignment vertical="top" wrapText="1"/>
    </xf>
    <xf numFmtId="0" fontId="0" fillId="0" borderId="14" xfId="0" applyBorder="1" applyAlignment="1" applyProtection="1">
      <alignment vertical="top"/>
    </xf>
    <xf numFmtId="0" fontId="16" fillId="0" borderId="14" xfId="0" applyFont="1" applyBorder="1" applyAlignment="1" applyProtection="1">
      <alignment vertical="top"/>
    </xf>
    <xf numFmtId="164" fontId="16" fillId="0" borderId="14" xfId="0" applyNumberFormat="1" applyFont="1" applyBorder="1" applyAlignment="1" applyProtection="1">
      <alignment vertical="top"/>
    </xf>
    <xf numFmtId="0" fontId="0" fillId="0" borderId="14" xfId="0" applyBorder="1" applyAlignment="1" applyProtection="1">
      <alignment vertical="top" wrapText="1"/>
    </xf>
    <xf numFmtId="0" fontId="14" fillId="0" borderId="13" xfId="0" applyFont="1" applyBorder="1" applyAlignment="1" applyProtection="1">
      <alignment wrapText="1"/>
      <protection locked="0"/>
    </xf>
    <xf numFmtId="43" fontId="14" fillId="0" borderId="13" xfId="1" applyFont="1" applyBorder="1" applyAlignment="1" applyProtection="1">
      <alignment wrapText="1"/>
      <protection locked="0"/>
    </xf>
    <xf numFmtId="43" fontId="14" fillId="0" borderId="13" xfId="1" applyFont="1" applyBorder="1" applyAlignment="1">
      <alignment wrapText="1"/>
    </xf>
    <xf numFmtId="165" fontId="14" fillId="0" borderId="13" xfId="0" applyNumberFormat="1" applyFont="1" applyBorder="1" applyAlignment="1" applyProtection="1">
      <alignment wrapText="1"/>
      <protection locked="0"/>
    </xf>
    <xf numFmtId="0" fontId="14" fillId="0" borderId="13" xfId="0" applyFont="1" applyBorder="1" applyAlignment="1" applyProtection="1">
      <alignment horizontal="center" vertical="center" wrapText="1"/>
      <protection locked="0"/>
    </xf>
    <xf numFmtId="164" fontId="14" fillId="0" borderId="13" xfId="0" applyNumberFormat="1" applyFont="1" applyBorder="1" applyAlignment="1" applyProtection="1">
      <alignment horizontal="center" vertical="center" wrapText="1"/>
      <protection locked="0"/>
    </xf>
    <xf numFmtId="14" fontId="8" fillId="0" borderId="15" xfId="0" applyNumberFormat="1" applyFont="1" applyBorder="1"/>
    <xf numFmtId="0" fontId="8" fillId="0" borderId="15" xfId="0" applyFont="1" applyBorder="1"/>
    <xf numFmtId="164" fontId="8" fillId="0" borderId="15" xfId="0" applyNumberFormat="1" applyFont="1" applyBorder="1"/>
    <xf numFmtId="164" fontId="7" fillId="0" borderId="16" xfId="0" applyNumberFormat="1" applyFont="1" applyBorder="1"/>
    <xf numFmtId="43" fontId="8" fillId="0" borderId="16" xfId="0" applyNumberFormat="1" applyFont="1" applyBorder="1"/>
    <xf numFmtId="165" fontId="14" fillId="0" borderId="0" xfId="0" applyNumberFormat="1" applyFont="1" applyBorder="1" applyAlignment="1" applyProtection="1">
      <alignment wrapText="1"/>
      <protection locked="0"/>
    </xf>
    <xf numFmtId="14" fontId="8" fillId="0" borderId="14" xfId="0" applyNumberFormat="1" applyFont="1" applyBorder="1" applyAlignment="1" applyProtection="1">
      <alignment wrapText="1"/>
      <protection locked="0"/>
    </xf>
    <xf numFmtId="3" fontId="8" fillId="0" borderId="14" xfId="0" applyNumberFormat="1" applyFont="1" applyBorder="1" applyAlignment="1" applyProtection="1">
      <alignment wrapText="1"/>
      <protection locked="0"/>
    </xf>
    <xf numFmtId="164" fontId="8" fillId="0" borderId="14" xfId="0" applyNumberFormat="1" applyFont="1" applyBorder="1" applyAlignment="1" applyProtection="1">
      <alignment wrapText="1"/>
      <protection locked="0"/>
    </xf>
    <xf numFmtId="43" fontId="8" fillId="0" borderId="14" xfId="1" applyFont="1" applyBorder="1" applyAlignment="1" applyProtection="1">
      <alignment wrapText="1"/>
      <protection locked="0"/>
    </xf>
    <xf numFmtId="43" fontId="8" fillId="0" borderId="14" xfId="1" applyFont="1" applyBorder="1" applyAlignment="1">
      <alignment wrapText="1"/>
    </xf>
    <xf numFmtId="14" fontId="10" fillId="7" borderId="13" xfId="0" applyNumberFormat="1" applyFont="1" applyFill="1" applyBorder="1" applyAlignment="1">
      <alignment vertical="top"/>
    </xf>
    <xf numFmtId="165" fontId="10" fillId="7" borderId="14" xfId="0" applyNumberFormat="1" applyFont="1" applyFill="1" applyBorder="1" applyAlignment="1">
      <alignment vertical="top"/>
    </xf>
    <xf numFmtId="165" fontId="16" fillId="7" borderId="14" xfId="0" applyNumberFormat="1" applyFont="1" applyFill="1" applyBorder="1" applyAlignment="1">
      <alignment vertical="top"/>
    </xf>
    <xf numFmtId="165" fontId="16" fillId="0" borderId="20" xfId="0" applyNumberFormat="1" applyFont="1" applyBorder="1" applyAlignment="1">
      <alignment vertical="top"/>
    </xf>
    <xf numFmtId="43" fontId="0" fillId="0" borderId="0" xfId="0" applyNumberFormat="1"/>
    <xf numFmtId="10" fontId="0" fillId="0" borderId="0" xfId="0" applyNumberFormat="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5" fontId="8" fillId="0" borderId="13" xfId="0" applyNumberFormat="1" applyFont="1" applyBorder="1" applyAlignment="1" applyProtection="1">
      <alignment wrapText="1"/>
      <protection locked="0"/>
    </xf>
    <xf numFmtId="0" fontId="8" fillId="0" borderId="13" xfId="0" applyFont="1" applyBorder="1" applyAlignment="1" applyProtection="1">
      <alignment horizontal="center" vertical="center" wrapText="1"/>
      <protection locked="0"/>
    </xf>
    <xf numFmtId="166" fontId="8" fillId="0" borderId="13" xfId="0" applyNumberFormat="1" applyFont="1" applyBorder="1" applyAlignment="1" applyProtection="1">
      <alignment wrapText="1"/>
      <protection locked="0"/>
    </xf>
    <xf numFmtId="164" fontId="8" fillId="0" borderId="13" xfId="0" applyNumberFormat="1" applyFont="1" applyBorder="1" applyAlignment="1" applyProtection="1">
      <alignment horizontal="center" vertical="center" wrapText="1"/>
      <protection locked="0"/>
    </xf>
    <xf numFmtId="0" fontId="8" fillId="0" borderId="8" xfId="0" applyFont="1" applyBorder="1" applyAlignment="1">
      <alignment horizontal="left"/>
    </xf>
    <xf numFmtId="0" fontId="8" fillId="0" borderId="0" xfId="0" applyFont="1" applyBorder="1" applyAlignment="1">
      <alignment horizontal="left"/>
    </xf>
    <xf numFmtId="43" fontId="14" fillId="0" borderId="13" xfId="1" applyNumberFormat="1" applyFont="1" applyBorder="1" applyAlignment="1" applyProtection="1">
      <alignment wrapText="1"/>
      <protection locked="0"/>
    </xf>
    <xf numFmtId="43" fontId="8" fillId="0" borderId="13" xfId="1" applyNumberFormat="1" applyFont="1" applyBorder="1" applyAlignment="1" applyProtection="1">
      <alignment wrapText="1"/>
      <protection locked="0"/>
    </xf>
    <xf numFmtId="164" fontId="27" fillId="0" borderId="15" xfId="0" applyNumberFormat="1" applyFont="1" applyBorder="1"/>
    <xf numFmtId="164" fontId="28" fillId="0" borderId="16" xfId="0" applyNumberFormat="1" applyFont="1" applyBorder="1"/>
    <xf numFmtId="43" fontId="27" fillId="0" borderId="16" xfId="0" applyNumberFormat="1" applyFont="1" applyBorder="1"/>
    <xf numFmtId="1" fontId="8" fillId="0" borderId="0" xfId="0" applyNumberFormat="1" applyFont="1" applyAlignment="1">
      <alignment horizontal="center"/>
    </xf>
    <xf numFmtId="1" fontId="29" fillId="0" borderId="26" xfId="1" applyNumberFormat="1" applyFont="1" applyBorder="1" applyAlignment="1" applyProtection="1">
      <alignment horizontal="center" wrapText="1"/>
      <protection locked="0"/>
    </xf>
    <xf numFmtId="1" fontId="29" fillId="0" borderId="13" xfId="1" applyNumberFormat="1" applyFont="1" applyBorder="1" applyAlignment="1" applyProtection="1">
      <alignment horizontal="center" wrapText="1"/>
      <protection locked="0"/>
    </xf>
    <xf numFmtId="1" fontId="7" fillId="0" borderId="27" xfId="0" applyNumberFormat="1" applyFont="1" applyBorder="1" applyAlignment="1">
      <alignment horizontal="center" vertical="center" wrapText="1"/>
    </xf>
    <xf numFmtId="165" fontId="30" fillId="0" borderId="14" xfId="0" applyNumberFormat="1" applyFont="1" applyBorder="1" applyAlignment="1" applyProtection="1">
      <alignment vertical="top"/>
    </xf>
    <xf numFmtId="166" fontId="30" fillId="0" borderId="14" xfId="0" applyNumberFormat="1" applyFont="1" applyBorder="1" applyAlignment="1" applyProtection="1">
      <alignment vertical="top"/>
    </xf>
    <xf numFmtId="0" fontId="30" fillId="0" borderId="14" xfId="0" applyFont="1" applyBorder="1" applyAlignment="1" applyProtection="1">
      <alignment vertical="top"/>
    </xf>
    <xf numFmtId="164" fontId="30" fillId="0" borderId="14" xfId="0" applyNumberFormat="1" applyFont="1" applyBorder="1" applyAlignment="1" applyProtection="1">
      <alignment vertical="top"/>
    </xf>
    <xf numFmtId="14" fontId="31" fillId="0" borderId="15" xfId="0" applyNumberFormat="1" applyFont="1" applyBorder="1"/>
    <xf numFmtId="0" fontId="31" fillId="0" borderId="15" xfId="0" applyFont="1" applyBorder="1"/>
    <xf numFmtId="164" fontId="31" fillId="0" borderId="15" xfId="0" applyNumberFormat="1" applyFont="1" applyBorder="1"/>
    <xf numFmtId="164" fontId="32" fillId="0" borderId="16" xfId="0" applyNumberFormat="1" applyFont="1" applyBorder="1"/>
    <xf numFmtId="43" fontId="31" fillId="0" borderId="16" xfId="0" applyNumberFormat="1" applyFont="1" applyBorder="1"/>
    <xf numFmtId="165" fontId="34" fillId="0" borderId="14" xfId="0" applyNumberFormat="1" applyFont="1" applyBorder="1" applyAlignment="1" applyProtection="1">
      <alignment vertical="top"/>
    </xf>
    <xf numFmtId="166" fontId="34" fillId="0" borderId="14" xfId="0" applyNumberFormat="1" applyFont="1" applyBorder="1" applyAlignment="1" applyProtection="1">
      <alignment vertical="top"/>
    </xf>
    <xf numFmtId="0" fontId="34" fillId="0" borderId="14" xfId="0" applyFont="1" applyBorder="1" applyAlignment="1" applyProtection="1">
      <alignment vertical="top"/>
    </xf>
    <xf numFmtId="164" fontId="34" fillId="0" borderId="14" xfId="0" applyNumberFormat="1" applyFont="1" applyBorder="1" applyAlignment="1" applyProtection="1">
      <alignment vertical="top"/>
    </xf>
    <xf numFmtId="1" fontId="33" fillId="0" borderId="28" xfId="0" applyNumberFormat="1" applyFont="1" applyBorder="1" applyAlignment="1">
      <alignment horizontal="center"/>
    </xf>
    <xf numFmtId="0" fontId="25" fillId="0" borderId="0" xfId="0" applyFont="1" applyAlignment="1">
      <alignment horizontal="center"/>
    </xf>
    <xf numFmtId="0" fontId="26" fillId="6" borderId="25" xfId="0" applyFont="1" applyFill="1" applyBorder="1" applyAlignment="1" applyProtection="1">
      <alignment horizontal="center" vertical="top"/>
      <protection locked="0"/>
    </xf>
    <xf numFmtId="0" fontId="26" fillId="6" borderId="0" xfId="0" applyFont="1" applyFill="1" applyBorder="1" applyAlignment="1" applyProtection="1">
      <alignment horizontal="center" vertical="top"/>
      <protection locked="0"/>
    </xf>
    <xf numFmtId="0" fontId="8" fillId="4" borderId="24"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24" fillId="6" borderId="25" xfId="0" applyFont="1" applyFill="1" applyBorder="1" applyAlignment="1" applyProtection="1">
      <alignment horizontal="center" vertical="top"/>
      <protection locked="0"/>
    </xf>
    <xf numFmtId="0" fontId="24" fillId="6" borderId="0" xfId="0" applyFont="1" applyFill="1" applyBorder="1" applyAlignment="1" applyProtection="1">
      <alignment horizontal="center" vertical="top"/>
      <protection locked="0"/>
    </xf>
    <xf numFmtId="0" fontId="8" fillId="4" borderId="7" xfId="0" applyFont="1" applyFill="1" applyBorder="1" applyAlignment="1">
      <alignment horizontal="center"/>
    </xf>
    <xf numFmtId="0" fontId="8" fillId="0" borderId="0" xfId="0" applyFont="1" applyAlignment="1">
      <alignment horizontal="center"/>
    </xf>
    <xf numFmtId="0" fontId="8" fillId="4" borderId="1" xfId="0"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top" wrapText="1"/>
    </xf>
    <xf numFmtId="0" fontId="10" fillId="4" borderId="2" xfId="0" applyFont="1" applyFill="1" applyBorder="1" applyAlignment="1" applyProtection="1">
      <alignment horizontal="left" vertical="top" wrapText="1"/>
    </xf>
    <xf numFmtId="0" fontId="10" fillId="4" borderId="3" xfId="0" applyFont="1" applyFill="1" applyBorder="1" applyAlignment="1" applyProtection="1">
      <alignment horizontal="left" vertical="top" wrapText="1"/>
    </xf>
    <xf numFmtId="0" fontId="9" fillId="8" borderId="1" xfId="0" applyNumberFormat="1" applyFont="1" applyFill="1" applyBorder="1" applyAlignment="1" applyProtection="1">
      <alignment horizontal="left" vertical="top" wrapText="1"/>
    </xf>
    <xf numFmtId="0" fontId="9" fillId="8" borderId="2" xfId="0" applyNumberFormat="1" applyFont="1" applyFill="1" applyBorder="1" applyAlignment="1" applyProtection="1">
      <alignment horizontal="left" vertical="top" wrapText="1"/>
    </xf>
    <xf numFmtId="0" fontId="9" fillId="8" borderId="3" xfId="0" applyNumberFormat="1" applyFont="1" applyFill="1" applyBorder="1" applyAlignment="1" applyProtection="1">
      <alignment horizontal="left" vertical="top" wrapText="1"/>
    </xf>
    <xf numFmtId="0" fontId="10" fillId="4" borderId="4" xfId="0" applyFont="1" applyFill="1" applyBorder="1" applyAlignment="1" applyProtection="1">
      <alignment horizontal="left"/>
    </xf>
    <xf numFmtId="0" fontId="10" fillId="4" borderId="5" xfId="0" applyFont="1" applyFill="1" applyBorder="1" applyAlignment="1" applyProtection="1">
      <alignment horizontal="left"/>
    </xf>
    <xf numFmtId="0" fontId="10" fillId="4" borderId="6" xfId="0" applyFont="1" applyFill="1" applyBorder="1" applyAlignment="1" applyProtection="1">
      <alignment horizontal="left"/>
    </xf>
    <xf numFmtId="0" fontId="8" fillId="4" borderId="4" xfId="0" applyFont="1" applyFill="1" applyBorder="1" applyAlignment="1" applyProtection="1">
      <alignment horizontal="left"/>
      <protection locked="0"/>
    </xf>
    <xf numFmtId="0" fontId="8" fillId="4" borderId="6" xfId="0" applyFont="1" applyFill="1" applyBorder="1" applyAlignment="1" applyProtection="1">
      <alignment horizontal="left"/>
      <protection locked="0"/>
    </xf>
    <xf numFmtId="44" fontId="8" fillId="6" borderId="17" xfId="2" applyFont="1" applyFill="1" applyBorder="1" applyAlignment="1">
      <alignment horizontal="right"/>
    </xf>
    <xf numFmtId="44" fontId="8" fillId="6" borderId="18" xfId="2" applyFont="1" applyFill="1" applyBorder="1" applyAlignment="1">
      <alignment horizontal="right"/>
    </xf>
    <xf numFmtId="0" fontId="2" fillId="6" borderId="25" xfId="0" applyFont="1" applyFill="1" applyBorder="1" applyAlignment="1" applyProtection="1">
      <alignment horizontal="center" vertical="top"/>
      <protection locked="0"/>
    </xf>
    <xf numFmtId="0" fontId="2" fillId="6" borderId="0" xfId="0" applyFont="1" applyFill="1" applyBorder="1" applyAlignment="1" applyProtection="1">
      <alignment horizontal="center" vertical="top"/>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1" xfId="0" applyFont="1" applyFill="1" applyBorder="1" applyAlignment="1" applyProtection="1">
      <alignment horizontal="left" vertical="top" wrapText="1"/>
      <protection locked="0"/>
    </xf>
    <xf numFmtId="0" fontId="8" fillId="4" borderId="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protection locked="0"/>
    </xf>
    <xf numFmtId="0" fontId="2" fillId="6" borderId="4" xfId="0" applyFont="1" applyFill="1" applyBorder="1" applyAlignment="1" applyProtection="1">
      <alignment horizontal="left" vertical="top"/>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3" fillId="4" borderId="4" xfId="0" applyFont="1" applyFill="1" applyBorder="1" applyAlignment="1" applyProtection="1">
      <alignment horizontal="left"/>
      <protection locked="0"/>
    </xf>
    <xf numFmtId="0" fontId="23" fillId="4" borderId="5" xfId="0" applyFont="1" applyFill="1" applyBorder="1" applyAlignment="1" applyProtection="1">
      <alignment horizontal="left"/>
      <protection locked="0"/>
    </xf>
    <xf numFmtId="0" fontId="23" fillId="4" borderId="6" xfId="0" applyFont="1" applyFill="1" applyBorder="1" applyAlignment="1" applyProtection="1">
      <alignment horizontal="left"/>
      <protection locked="0"/>
    </xf>
    <xf numFmtId="0" fontId="10" fillId="0" borderId="0" xfId="0" applyFont="1" applyAlignment="1" applyProtection="1">
      <alignment horizontal="center"/>
    </xf>
    <xf numFmtId="44" fontId="10" fillId="6" borderId="17" xfId="2" applyFont="1" applyFill="1" applyBorder="1" applyAlignment="1" applyProtection="1">
      <alignment horizontal="left"/>
    </xf>
    <xf numFmtId="44" fontId="10" fillId="6" borderId="18" xfId="2" applyFont="1" applyFill="1" applyBorder="1" applyAlignment="1" applyProtection="1">
      <alignment horizontal="left"/>
    </xf>
    <xf numFmtId="0" fontId="11" fillId="3" borderId="4" xfId="0" applyFont="1" applyFill="1" applyBorder="1" applyAlignment="1" applyProtection="1">
      <alignment horizontal="left" vertical="top"/>
    </xf>
    <xf numFmtId="0" fontId="11" fillId="3" borderId="5" xfId="0" applyFont="1" applyFill="1" applyBorder="1" applyAlignment="1" applyProtection="1">
      <alignment horizontal="left" vertical="top"/>
    </xf>
    <xf numFmtId="0" fontId="11" fillId="3" borderId="6" xfId="0" applyFont="1" applyFill="1" applyBorder="1" applyAlignment="1" applyProtection="1">
      <alignment horizontal="left" vertical="top"/>
    </xf>
    <xf numFmtId="0" fontId="10" fillId="4" borderId="1"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3" xfId="0" applyFont="1" applyFill="1" applyBorder="1" applyAlignment="1" applyProtection="1">
      <alignment horizontal="left" vertical="center"/>
    </xf>
  </cellXfs>
  <cellStyles count="7">
    <cellStyle name="Millares" xfId="1" builtinId="3"/>
    <cellStyle name="Moneda" xfId="2" builtinId="4"/>
    <cellStyle name="Normal" xfId="0" builtinId="0"/>
    <cellStyle name="Normal 2" xfId="5"/>
    <cellStyle name="Normal 2 2" xfId="6"/>
    <cellStyle name="Normal_Metas" xfId="3"/>
    <cellStyle name="Normal_Metas_1" xfId="4"/>
  </cellStyles>
  <dxfs count="962">
    <dxf>
      <font>
        <b val="0"/>
        <i val="0"/>
        <strike val="0"/>
        <condense val="0"/>
        <extend val="0"/>
        <outline val="0"/>
        <shadow val="0"/>
        <u val="none"/>
        <vertAlign val="baseline"/>
        <sz val="9"/>
        <color theme="1"/>
        <name val="Calibri"/>
        <scheme val="none"/>
      </font>
      <numFmt numFmtId="34" formatCode="_-&quot;$&quot;* #,##0.00_-;\-&quot;$&quot;* #,##0.00_-;_-&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numFmt numFmtId="166" formatCode="_(\$* #,##0.00_);_(\$* \(#,##0.00\);_(\$* &quot;-&quot;??_);_(@_)"/>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border diagonalUp="0" diagonalDown="0" outline="0">
        <left/>
        <right/>
        <top style="double">
          <color theme="3" tint="0.39988402966399123"/>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vertical/>
        <horizontal/>
      </border>
      <protection locked="1" hidden="0"/>
    </dxf>
    <dxf>
      <font>
        <b val="0"/>
        <i val="0"/>
        <strike val="0"/>
        <condense val="0"/>
        <extend val="0"/>
        <outline val="0"/>
        <shadow val="0"/>
        <u val="none"/>
        <vertAlign val="baseline"/>
        <sz val="9"/>
        <color theme="1"/>
        <name val="Calibri"/>
        <scheme val="none"/>
      </font>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alignment horizontal="general" vertical="top"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font>
        <b val="0"/>
        <i val="0"/>
        <strike val="0"/>
        <condense val="0"/>
        <extend val="0"/>
        <outline val="0"/>
        <shadow val="0"/>
        <u val="none"/>
        <vertAlign val="baseline"/>
        <sz val="9"/>
        <color theme="1"/>
        <name val="Calibri"/>
        <scheme val="none"/>
      </font>
      <numFmt numFmtId="19" formatCode="dd/mm/yyyy"/>
      <border diagonalUp="0" diagonalDown="0" outline="0">
        <left/>
        <right/>
        <top style="double">
          <color theme="3" tint="0.39988402966399123"/>
        </top>
        <bottom/>
      </border>
      <protection locked="1" hidden="0"/>
    </dxf>
    <dxf>
      <font>
        <b val="0"/>
        <strike val="0"/>
        <outline val="0"/>
        <shadow val="0"/>
        <u val="none"/>
        <vertAlign val="baseline"/>
        <sz val="9"/>
        <color theme="1"/>
        <name val="Calibri"/>
        <scheme val="none"/>
      </font>
      <numFmt numFmtId="165" formatCode="d\-m\-yyyy"/>
      <alignment horizontal="general" vertical="top" textRotation="0" wrapText="0"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1" hidden="0"/>
    </dxf>
    <dxf>
      <border>
        <top style="double">
          <color rgb="FF538DD5"/>
        </top>
      </border>
    </dxf>
    <dxf>
      <font>
        <strike val="0"/>
        <outline val="0"/>
        <shadow val="0"/>
        <u val="none"/>
        <vertAlign val="baseline"/>
        <sz val="9"/>
        <color theme="1"/>
        <name val="Calibri"/>
        <scheme val="none"/>
      </font>
      <protection locked="1" hidden="0"/>
    </dxf>
    <dxf>
      <font>
        <b val="0"/>
        <strike val="0"/>
        <outline val="0"/>
        <shadow val="0"/>
        <u val="none"/>
        <vertAlign val="baseline"/>
        <sz val="9"/>
        <color theme="1"/>
        <name val="Calibri"/>
        <scheme val="none"/>
      </font>
      <alignment horizontal="general" vertical="top" textRotation="0" wrapText="1" indent="0" justifyLastLine="0" shrinkToFit="0" readingOrder="0"/>
      <protection locked="1" hidden="0"/>
    </dxf>
    <dxf>
      <font>
        <b/>
        <strike val="0"/>
        <outline val="0"/>
        <shadow val="0"/>
        <u val="none"/>
        <vertAlign val="baseline"/>
        <sz val="9"/>
        <color theme="1"/>
        <name val="Calibri"/>
        <scheme val="none"/>
      </font>
      <alignment horizontal="center"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theme="3" tint="0.39988402966399123"/>
        </top>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164" formatCode="_-* #,##0.00\ &quot;€&quot;_-;\-* #,##0.00\ &quot;€&quot;_-;_-* &quot;-&quot;??\ &quot;€&quot;_-;_-@_-"/>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vertical/>
        <horizontal/>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9" formatCode="dd/mm/yyyy"/>
      <border diagonalUp="0" diagonalDown="0" outline="0">
        <left/>
        <right/>
        <top style="double">
          <color theme="3" tint="0.39988402966399123"/>
        </top>
        <bottom/>
      </border>
    </dxf>
    <dxf>
      <font>
        <b val="0"/>
        <strike val="0"/>
        <outline val="0"/>
        <shadow val="0"/>
        <u val="none"/>
        <vertAlign val="baseline"/>
        <sz val="9"/>
        <color theme="1"/>
        <name val="Calibri"/>
        <scheme val="minor"/>
      </font>
      <numFmt numFmtId="165" formatCode="d\-m\-yyyy"/>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none"/>
      </font>
      <numFmt numFmtId="166" formatCode="_(\$* #,##0.00_);_(\$* \(#,##0.00\);_(\$*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vertical/>
        <horizontal/>
      </border>
      <protection locked="1"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alignment horizontal="general" vertical="top"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5" formatCode="d\-m\-yyyy"/>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5" formatCode="d\-m\-yyyy"/>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9"/>
        <color rgb="FF000000"/>
        <name val="Calibri"/>
        <scheme val="none"/>
      </font>
      <numFmt numFmtId="1" formatCode="0"/>
      <alignment horizontal="center" vertical="bottom" textRotation="0" wrapText="0" indent="0" justifyLastLine="0" shrinkToFit="0" readingOrder="0"/>
      <border diagonalUp="0" diagonalDown="0" outline="0">
        <left/>
        <right/>
        <top style="double">
          <color rgb="FF538ED5"/>
        </top>
        <bottom/>
      </border>
    </dxf>
    <dxf>
      <font>
        <b val="0"/>
        <i val="0"/>
        <strike val="0"/>
        <condense val="0"/>
        <extend val="0"/>
        <outline val="0"/>
        <shadow val="0"/>
        <u val="none"/>
        <vertAlign val="baseline"/>
        <sz val="9"/>
        <color rgb="FF000000"/>
        <name val="Calibri"/>
        <scheme val="none"/>
      </font>
      <numFmt numFmtId="1" formatCode="0"/>
      <alignment horizontal="center"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35" formatCode="_-* #,##0.00_-;\-* #,##0.00_-;_-*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dxf>
    <dxf>
      <font>
        <b/>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style="thin">
          <color theme="3" tint="0.39991454817346722"/>
        </left>
        <right style="thin">
          <color theme="3" tint="0.39991454817346722"/>
        </right>
        <top style="double">
          <color theme="3" tint="0.39988402966399123"/>
        </top>
        <bottom style="thin">
          <color theme="3" tint="0.39991454817346722"/>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minor"/>
      </font>
      <numFmt numFmtId="164" formatCode="_-* #,##0.00\ &quot;€&quot;_-;\-* #,##0.00\ &quot;€&quot;_-;_-* &quot;-&quot;??\ &quot;€&quot;_-;_-@_-"/>
      <border diagonalUp="0" diagonalDown="0" outline="0">
        <left/>
        <right/>
        <top style="double">
          <color theme="3" tint="0.39988402966399123"/>
        </top>
        <bottom/>
      </border>
    </dxf>
    <dxf>
      <font>
        <b val="0"/>
        <i val="0"/>
        <strike val="0"/>
        <condense val="0"/>
        <extend val="0"/>
        <outline val="0"/>
        <shadow val="0"/>
        <u val="none"/>
        <vertAlign val="baseline"/>
        <sz val="9"/>
        <color theme="1"/>
        <name val="Calibri"/>
        <scheme val="minor"/>
      </font>
      <numFmt numFmtId="35" formatCode="_-* #,##0.00_-;\-* #,##0.00_-;_-* &quot;-&quot;??_-;_-@_-"/>
      <alignment horizontal="general" vertical="bottom"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4" formatCode="_-* #,##0.00\ &quot;€&quot;_-;\-* #,##0.00\ &quot;€&quot;_-;_-* &quot;-&quot;??\ &quot;€&quot;_-;_-@_-"/>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strike val="0"/>
        <outline val="0"/>
        <shadow val="0"/>
        <u val="none"/>
        <vertAlign val="baseline"/>
        <sz val="9"/>
        <color theme="1"/>
        <name val="Calibri"/>
        <scheme val="minor"/>
      </font>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font>
        <b val="0"/>
        <i val="0"/>
        <strike val="0"/>
        <condense val="0"/>
        <extend val="0"/>
        <outline val="0"/>
        <shadow val="0"/>
        <u val="none"/>
        <vertAlign val="baseline"/>
        <sz val="9"/>
        <color theme="1"/>
        <name val="Calibri"/>
        <scheme val="none"/>
      </font>
      <numFmt numFmtId="166" formatCode="_(\$* #,##0.00_);_(\$* \(#,##0.00\);_(\$* &quot;-&quot;??_);_(@_)"/>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strike val="0"/>
        <outline val="0"/>
        <shadow val="0"/>
        <u val="none"/>
        <vertAlign val="baseline"/>
        <sz val="9"/>
        <color theme="1"/>
        <name val="Calibri"/>
        <scheme val="minor"/>
      </font>
      <numFmt numFmtId="166" formatCode="_(\$* #,##0.00_);_(\$* \(#,##0.00\);_(\$* &quot;-&quot;??_);_(@_)"/>
      <alignment horizontal="general" vertical="bottom" textRotation="0" wrapText="1" indent="0" justifyLastLine="0" shrinkToFit="0" readingOrder="0"/>
      <border diagonalUp="0" diagonalDown="0">
        <left style="thin">
          <color theme="3" tint="0.39994506668294322"/>
        </left>
        <right style="thin">
          <color theme="3" tint="0.39994506668294322"/>
        </right>
        <top style="thin">
          <color theme="3" tint="0.39994506668294322"/>
        </top>
        <bottom style="thin">
          <color theme="3" tint="0.39994506668294322"/>
        </bottom>
      </border>
      <protection locked="0"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vertical/>
        <horizontal/>
      </border>
      <protection locked="1" hidden="0"/>
    </dxf>
    <dxf>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alignment horizontal="general" vertical="top" textRotation="0" wrapText="1"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alignment horizontal="general" vertical="top" textRotation="0" wrapText="1"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5" formatCode="d\-m\-yyyy"/>
      <alignment horizontal="general" vertical="top" textRotation="0" wrapText="0" indent="0" justifyLastLine="0" shrinkToFit="0" readingOrder="0"/>
      <border diagonalUp="0" diagonalDown="0" outline="0">
        <left style="thin">
          <color theme="3" tint="0.39994506668294322"/>
        </left>
        <right style="thin">
          <color theme="3" tint="0.39994506668294322"/>
        </right>
        <top style="thin">
          <color theme="3" tint="0.39994506668294322"/>
        </top>
        <bottom/>
      </border>
      <protection locked="1" hidden="0"/>
    </dxf>
    <dxf>
      <font>
        <b val="0"/>
        <i val="0"/>
        <strike val="0"/>
        <condense val="0"/>
        <extend val="0"/>
        <outline val="0"/>
        <shadow val="0"/>
        <u val="none"/>
        <vertAlign val="baseline"/>
        <sz val="9"/>
        <color theme="1"/>
        <name val="Calibri"/>
        <scheme val="none"/>
      </font>
      <numFmt numFmtId="165" formatCode="d\-m\-yyyy"/>
      <alignment horizontal="general" vertical="top" textRotation="0" wrapText="0" relativeIndent="0" justifyLastLine="0" shrinkToFit="0" readingOrder="0"/>
      <border diagonalUp="0" diagonalDown="0">
        <left style="thin">
          <color theme="3" tint="0.39994506668294322"/>
        </left>
        <right style="thin">
          <color theme="3" tint="0.39994506668294322"/>
        </right>
        <top style="thin">
          <color theme="3" tint="0.39994506668294322"/>
        </top>
        <bottom/>
      </border>
      <protection locked="1" hidden="0"/>
    </dxf>
    <dxf>
      <border>
        <top style="double">
          <color rgb="FF538ED5"/>
        </top>
      </border>
    </dxf>
    <dxf>
      <font>
        <strike val="0"/>
        <outline val="0"/>
        <shadow val="0"/>
        <u val="none"/>
        <vertAlign val="baseline"/>
        <sz val="9"/>
        <color rgb="FF000000"/>
        <name val="Calibri"/>
        <scheme val="none"/>
      </font>
    </dxf>
    <dxf>
      <font>
        <b val="0"/>
        <strike val="0"/>
        <outline val="0"/>
        <shadow val="0"/>
        <u val="none"/>
        <vertAlign val="baseline"/>
        <sz val="9"/>
        <color rgb="FF000000"/>
        <name val="Calibri"/>
        <scheme val="none"/>
      </font>
      <alignment horizontal="general" vertical="bottom" textRotation="0" wrapText="1" indent="0" justifyLastLine="0" shrinkToFit="0" readingOrder="0"/>
    </dxf>
    <dxf>
      <font>
        <b/>
        <strike val="0"/>
        <outline val="0"/>
        <shadow val="0"/>
        <u val="none"/>
        <vertAlign val="baseline"/>
        <sz val="9"/>
        <color theme="1"/>
        <name val="Calibri"/>
        <scheme val="minor"/>
      </font>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0.19243303626594699"/>
          <c:y val="3.9121876069839114E-2"/>
          <c:w val="0.63469806387195971"/>
          <c:h val="0.5211668853893261"/>
        </c:manualLayout>
      </c:layout>
      <c:area3DChart>
        <c:grouping val="standard"/>
        <c:varyColors val="0"/>
        <c:ser>
          <c:idx val="0"/>
          <c:order val="0"/>
          <c:tx>
            <c:strRef>
              <c:f>COMPARACION!$B$1</c:f>
              <c:strCache>
                <c:ptCount val="1"/>
                <c:pt idx="0">
                  <c:v>2011</c:v>
                </c:pt>
              </c:strCache>
            </c:strRef>
          </c:tx>
          <c:cat>
            <c:strRef>
              <c:f>COMPARACION!$A$2:$A$19</c:f>
              <c:strCache>
                <c:ptCount val="18"/>
                <c:pt idx="0">
                  <c:v>PAGO SERVICIOS</c:v>
                </c:pt>
                <c:pt idx="1">
                  <c:v>SERVICIOS A LA COMUNIDAD</c:v>
                </c:pt>
                <c:pt idx="2">
                  <c:v>TRABAJO SOCIAL</c:v>
                </c:pt>
                <c:pt idx="3">
                  <c:v>APCE</c:v>
                </c:pt>
                <c:pt idx="4">
                  <c:v>OPERACIÓN DIF</c:v>
                </c:pt>
                <c:pt idx="5">
                  <c:v>COMEDOR</c:v>
                </c:pt>
                <c:pt idx="6">
                  <c:v>DESAYUNOS ESCOLARES</c:v>
                </c:pt>
                <c:pt idx="7">
                  <c:v>NIÑOS TRABAJADORES</c:v>
                </c:pt>
                <c:pt idx="8">
                  <c:v>DIFUSORES DE LA NIÑEZ</c:v>
                </c:pt>
                <c:pt idx="9">
                  <c:v>PAAD</c:v>
                </c:pt>
                <c:pt idx="10">
                  <c:v>CONSEJO MUNICIPAL DE FAMILIA</c:v>
                </c:pt>
                <c:pt idx="11">
                  <c:v>CADI</c:v>
                </c:pt>
                <c:pt idx="12">
                  <c:v>PAIDEA</c:v>
                </c:pt>
                <c:pt idx="13">
                  <c:v>PREVERP</c:v>
                </c:pt>
                <c:pt idx="14">
                  <c:v>UAVI</c:v>
                </c:pt>
                <c:pt idx="15">
                  <c:v>URR</c:v>
                </c:pt>
                <c:pt idx="16">
                  <c:v>ADULTO MAYOR</c:v>
                </c:pt>
                <c:pt idx="17">
                  <c:v>ECAPAF</c:v>
                </c:pt>
              </c:strCache>
            </c:strRef>
          </c:cat>
          <c:val>
            <c:numRef>
              <c:f>COMPARACION!$B$2:$B$19</c:f>
              <c:numCache>
                <c:formatCode>_(* #,##0.00_);_(* \(#,##0.00\);_(* "-"??_);_(@_)</c:formatCode>
                <c:ptCount val="18"/>
                <c:pt idx="0">
                  <c:v>942245.03</c:v>
                </c:pt>
                <c:pt idx="1">
                  <c:v>0</c:v>
                </c:pt>
                <c:pt idx="2">
                  <c:v>458640.84</c:v>
                </c:pt>
                <c:pt idx="3">
                  <c:v>15000</c:v>
                </c:pt>
                <c:pt idx="4">
                  <c:v>3290898.51</c:v>
                </c:pt>
                <c:pt idx="5">
                  <c:v>285732</c:v>
                </c:pt>
                <c:pt idx="6">
                  <c:v>101815.67999999999</c:v>
                </c:pt>
                <c:pt idx="7">
                  <c:v>101815.67999999999</c:v>
                </c:pt>
                <c:pt idx="8">
                  <c:v>18000</c:v>
                </c:pt>
                <c:pt idx="9">
                  <c:v>113544</c:v>
                </c:pt>
                <c:pt idx="10">
                  <c:v>365280</c:v>
                </c:pt>
                <c:pt idx="11">
                  <c:v>1450680</c:v>
                </c:pt>
                <c:pt idx="12">
                  <c:v>187644</c:v>
                </c:pt>
                <c:pt idx="13">
                  <c:v>244724</c:v>
                </c:pt>
                <c:pt idx="14">
                  <c:v>794212.8</c:v>
                </c:pt>
                <c:pt idx="15">
                  <c:v>644522.64</c:v>
                </c:pt>
                <c:pt idx="16">
                  <c:v>0</c:v>
                </c:pt>
                <c:pt idx="17">
                  <c:v>202000</c:v>
                </c:pt>
              </c:numCache>
            </c:numRef>
          </c:val>
        </c:ser>
        <c:ser>
          <c:idx val="1"/>
          <c:order val="1"/>
          <c:tx>
            <c:strRef>
              <c:f>COMPARACION!$C$1</c:f>
              <c:strCache>
                <c:ptCount val="1"/>
                <c:pt idx="0">
                  <c:v>2012</c:v>
                </c:pt>
              </c:strCache>
            </c:strRef>
          </c:tx>
          <c:cat>
            <c:strRef>
              <c:f>COMPARACION!$A$2:$A$19</c:f>
              <c:strCache>
                <c:ptCount val="18"/>
                <c:pt idx="0">
                  <c:v>PAGO SERVICIOS</c:v>
                </c:pt>
                <c:pt idx="1">
                  <c:v>SERVICIOS A LA COMUNIDAD</c:v>
                </c:pt>
                <c:pt idx="2">
                  <c:v>TRABAJO SOCIAL</c:v>
                </c:pt>
                <c:pt idx="3">
                  <c:v>APCE</c:v>
                </c:pt>
                <c:pt idx="4">
                  <c:v>OPERACIÓN DIF</c:v>
                </c:pt>
                <c:pt idx="5">
                  <c:v>COMEDOR</c:v>
                </c:pt>
                <c:pt idx="6">
                  <c:v>DESAYUNOS ESCOLARES</c:v>
                </c:pt>
                <c:pt idx="7">
                  <c:v>NIÑOS TRABAJADORES</c:v>
                </c:pt>
                <c:pt idx="8">
                  <c:v>DIFUSORES DE LA NIÑEZ</c:v>
                </c:pt>
                <c:pt idx="9">
                  <c:v>PAAD</c:v>
                </c:pt>
                <c:pt idx="10">
                  <c:v>CONSEJO MUNICIPAL DE FAMILIA</c:v>
                </c:pt>
                <c:pt idx="11">
                  <c:v>CADI</c:v>
                </c:pt>
                <c:pt idx="12">
                  <c:v>PAIDEA</c:v>
                </c:pt>
                <c:pt idx="13">
                  <c:v>PREVERP</c:v>
                </c:pt>
                <c:pt idx="14">
                  <c:v>UAVI</c:v>
                </c:pt>
                <c:pt idx="15">
                  <c:v>URR</c:v>
                </c:pt>
                <c:pt idx="16">
                  <c:v>ADULTO MAYOR</c:v>
                </c:pt>
                <c:pt idx="17">
                  <c:v>ECAPAF</c:v>
                </c:pt>
              </c:strCache>
            </c:strRef>
          </c:cat>
          <c:val>
            <c:numRef>
              <c:f>COMPARACION!$C$2:$C$19</c:f>
              <c:numCache>
                <c:formatCode>_(* #,##0.00_);_(* \(#,##0.00\);_(* "-"??_);_(@_)</c:formatCode>
                <c:ptCount val="18"/>
                <c:pt idx="0">
                  <c:v>1186631.17</c:v>
                </c:pt>
                <c:pt idx="1">
                  <c:v>24000</c:v>
                </c:pt>
                <c:pt idx="2">
                  <c:v>169800</c:v>
                </c:pt>
                <c:pt idx="3">
                  <c:v>127500</c:v>
                </c:pt>
                <c:pt idx="4">
                  <c:v>5233400</c:v>
                </c:pt>
                <c:pt idx="5">
                  <c:v>120000</c:v>
                </c:pt>
                <c:pt idx="6">
                  <c:v>18000</c:v>
                </c:pt>
                <c:pt idx="7">
                  <c:v>48000</c:v>
                </c:pt>
                <c:pt idx="8">
                  <c:v>18000</c:v>
                </c:pt>
                <c:pt idx="9">
                  <c:v>24000</c:v>
                </c:pt>
                <c:pt idx="10">
                  <c:v>380140.45</c:v>
                </c:pt>
                <c:pt idx="11">
                  <c:v>534330.82000000007</c:v>
                </c:pt>
                <c:pt idx="12">
                  <c:v>32400</c:v>
                </c:pt>
                <c:pt idx="13">
                  <c:v>71000</c:v>
                </c:pt>
                <c:pt idx="14">
                  <c:v>960997.56</c:v>
                </c:pt>
                <c:pt idx="15">
                  <c:v>607500</c:v>
                </c:pt>
                <c:pt idx="16">
                  <c:v>68100</c:v>
                </c:pt>
                <c:pt idx="17">
                  <c:v>101000</c:v>
                </c:pt>
              </c:numCache>
            </c:numRef>
          </c:val>
        </c:ser>
        <c:dLbls>
          <c:showLegendKey val="0"/>
          <c:showVal val="0"/>
          <c:showCatName val="0"/>
          <c:showSerName val="0"/>
          <c:showPercent val="0"/>
          <c:showBubbleSize val="0"/>
        </c:dLbls>
        <c:axId val="92695552"/>
        <c:axId val="92709632"/>
        <c:axId val="76429504"/>
      </c:area3DChart>
      <c:catAx>
        <c:axId val="92695552"/>
        <c:scaling>
          <c:orientation val="minMax"/>
        </c:scaling>
        <c:delete val="0"/>
        <c:axPos val="b"/>
        <c:majorTickMark val="out"/>
        <c:minorTickMark val="none"/>
        <c:tickLblPos val="nextTo"/>
        <c:crossAx val="92709632"/>
        <c:crosses val="autoZero"/>
        <c:auto val="1"/>
        <c:lblAlgn val="ctr"/>
        <c:lblOffset val="100"/>
        <c:noMultiLvlLbl val="0"/>
      </c:catAx>
      <c:valAx>
        <c:axId val="92709632"/>
        <c:scaling>
          <c:orientation val="minMax"/>
        </c:scaling>
        <c:delete val="0"/>
        <c:axPos val="l"/>
        <c:majorGridlines/>
        <c:numFmt formatCode="_(* #,##0.00_);_(* \(#,##0.00\);_(* &quot;-&quot;??_);_(@_)" sourceLinked="1"/>
        <c:majorTickMark val="out"/>
        <c:minorTickMark val="none"/>
        <c:tickLblPos val="nextTo"/>
        <c:crossAx val="92695552"/>
        <c:crosses val="autoZero"/>
        <c:crossBetween val="midCat"/>
      </c:valAx>
      <c:serAx>
        <c:axId val="76429504"/>
        <c:scaling>
          <c:orientation val="minMax"/>
        </c:scaling>
        <c:delete val="0"/>
        <c:axPos val="b"/>
        <c:majorTickMark val="out"/>
        <c:minorTickMark val="none"/>
        <c:tickLblPos val="nextTo"/>
        <c:crossAx val="92709632"/>
        <c:crosses val="autoZero"/>
      </c:serAx>
    </c:plotArea>
    <c:legend>
      <c:legendPos val="r"/>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19</xdr:col>
      <xdr:colOff>383990</xdr:colOff>
      <xdr:row>24</xdr:row>
      <xdr:rowOff>85724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61990" cy="4276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285750</xdr:colOff>
      <xdr:row>0</xdr:row>
      <xdr:rowOff>104775</xdr:rowOff>
    </xdr:from>
    <xdr:to>
      <xdr:col>11</xdr:col>
      <xdr:colOff>9525</xdr:colOff>
      <xdr:row>18</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75874</xdr:rowOff>
    </xdr:from>
    <xdr:to>
      <xdr:col>0</xdr:col>
      <xdr:colOff>1676680</xdr:colOff>
      <xdr:row>22</xdr:row>
      <xdr:rowOff>10366</xdr:rowOff>
    </xdr:to>
    <xdr:pic>
      <xdr:nvPicPr>
        <xdr:cNvPr id="1025" name="Picture 1"/>
        <xdr:cNvPicPr>
          <a:picLocks noChangeAspect="1" noChangeArrowheads="1"/>
        </xdr:cNvPicPr>
      </xdr:nvPicPr>
      <xdr:blipFill>
        <a:blip xmlns:r="http://schemas.openxmlformats.org/officeDocument/2006/relationships" r:embed="rId1" cstate="print"/>
        <a:srcRect l="10498" t="65104" r="62891"/>
        <a:stretch>
          <a:fillRect/>
        </a:stretch>
      </xdr:blipFill>
      <xdr:spPr bwMode="auto">
        <a:xfrm>
          <a:off x="0" y="2742874"/>
          <a:ext cx="1676680" cy="1648992"/>
        </a:xfrm>
        <a:prstGeom prst="rect">
          <a:avLst/>
        </a:prstGeom>
        <a:noFill/>
        <a:ln w="1">
          <a:noFill/>
          <a:miter lim="800000"/>
          <a:headEnd/>
          <a:tailEnd type="none" w="med" len="med"/>
        </a:ln>
        <a:effectLst/>
      </xdr:spPr>
    </xdr:pic>
    <xdr:clientData/>
  </xdr:twoCellAnchor>
  <xdr:twoCellAnchor editAs="oneCell">
    <xdr:from>
      <xdr:col>0</xdr:col>
      <xdr:colOff>3082637</xdr:colOff>
      <xdr:row>15</xdr:row>
      <xdr:rowOff>24449</xdr:rowOff>
    </xdr:from>
    <xdr:to>
      <xdr:col>0</xdr:col>
      <xdr:colOff>5922819</xdr:colOff>
      <xdr:row>29</xdr:row>
      <xdr:rowOff>76403</xdr:rowOff>
    </xdr:to>
    <xdr:pic>
      <xdr:nvPicPr>
        <xdr:cNvPr id="1026" name="Picture 2"/>
        <xdr:cNvPicPr>
          <a:picLocks noChangeAspect="1" noChangeArrowheads="1"/>
        </xdr:cNvPicPr>
      </xdr:nvPicPr>
      <xdr:blipFill>
        <a:blip xmlns:r="http://schemas.openxmlformats.org/officeDocument/2006/relationships" r:embed="rId2" cstate="print"/>
        <a:srcRect l="9588" t="55398" r="61293" b="7434"/>
        <a:stretch>
          <a:fillRect/>
        </a:stretch>
      </xdr:blipFill>
      <xdr:spPr bwMode="auto">
        <a:xfrm>
          <a:off x="3082637" y="3072449"/>
          <a:ext cx="2840182" cy="2718954"/>
        </a:xfrm>
        <a:prstGeom prst="rect">
          <a:avLst/>
        </a:prstGeom>
        <a:noFill/>
        <a:ln w="1">
          <a:noFill/>
          <a:miter lim="800000"/>
          <a:headEnd/>
          <a:tailEnd type="none" w="med" len="med"/>
        </a:ln>
        <a:effectLst/>
      </xdr:spPr>
    </xdr:pic>
    <xdr:clientData/>
  </xdr:twoCellAnchor>
  <xdr:twoCellAnchor editAs="oneCell">
    <xdr:from>
      <xdr:col>0</xdr:col>
      <xdr:colOff>5926893</xdr:colOff>
      <xdr:row>30</xdr:row>
      <xdr:rowOff>369793</xdr:rowOff>
    </xdr:from>
    <xdr:to>
      <xdr:col>0</xdr:col>
      <xdr:colOff>8194448</xdr:colOff>
      <xdr:row>31</xdr:row>
      <xdr:rowOff>168088</xdr:rowOff>
    </xdr:to>
    <xdr:pic>
      <xdr:nvPicPr>
        <xdr:cNvPr id="1027" name="Picture 3"/>
        <xdr:cNvPicPr>
          <a:picLocks noChangeAspect="1" noChangeArrowheads="1"/>
        </xdr:cNvPicPr>
      </xdr:nvPicPr>
      <xdr:blipFill>
        <a:blip xmlns:r="http://schemas.openxmlformats.org/officeDocument/2006/relationships" r:embed="rId3" cstate="print"/>
        <a:srcRect t="93277" r="61825" b="2699"/>
        <a:stretch>
          <a:fillRect/>
        </a:stretch>
      </xdr:blipFill>
      <xdr:spPr bwMode="auto">
        <a:xfrm>
          <a:off x="5926893" y="6275293"/>
          <a:ext cx="2267555" cy="17929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Nueva%20carpeta/CONTA%20DIF/PRESUPUESTO%202011/PRESUPUESTO%20DIF%20TEPATITLAN%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RESUMEN PROGRAMAS"/>
      <sheetName val="PAGO SERVICIOS"/>
      <sheetName val="TALLER TIRO CON ARCO"/>
      <sheetName val="TRABAJO SOCIAL"/>
      <sheetName val="APCE"/>
      <sheetName val="OPERACION DIF"/>
      <sheetName val="COMEDOR ASISTENCIAL"/>
      <sheetName val="DESAYUNOS ESCOLARES"/>
      <sheetName val="NIÑOS TRABAJADORES"/>
      <sheetName val="NIÑOS DIFUSORES"/>
      <sheetName val="PAAD"/>
      <sheetName val="CONSEJO MPAL DE FAMILIA"/>
      <sheetName val="CADI"/>
      <sheetName val="PAIDEA"/>
      <sheetName val="PREVERP"/>
      <sheetName val="UNIDAD DE ATENCION A LA VIOLENC"/>
      <sheetName val="UNIDAD DE REHABILITACION"/>
      <sheetName val="DIF CERCA DE TI"/>
      <sheetName val="ECAPAF"/>
      <sheetName val="GUÍA"/>
      <sheetName val="EJEM"/>
    </sheetNames>
    <sheetDataSet>
      <sheetData sheetId="0"/>
      <sheetData sheetId="1">
        <row r="15">
          <cell r="W15">
            <v>942245.03</v>
          </cell>
        </row>
        <row r="17">
          <cell r="W17">
            <v>458640.84</v>
          </cell>
        </row>
        <row r="18">
          <cell r="W18">
            <v>15000</v>
          </cell>
        </row>
        <row r="19">
          <cell r="W19">
            <v>285732</v>
          </cell>
        </row>
        <row r="21">
          <cell r="W21">
            <v>101815.67999999999</v>
          </cell>
        </row>
        <row r="23">
          <cell r="W23">
            <v>113544</v>
          </cell>
        </row>
        <row r="24">
          <cell r="W24">
            <v>1450680</v>
          </cell>
        </row>
        <row r="25">
          <cell r="W25">
            <v>187644</v>
          </cell>
        </row>
        <row r="26">
          <cell r="W26">
            <v>244724</v>
          </cell>
        </row>
        <row r="27">
          <cell r="W27">
            <v>794212.8</v>
          </cell>
        </row>
        <row r="28">
          <cell r="W28">
            <v>644522.64</v>
          </cell>
        </row>
        <row r="30">
          <cell r="W30">
            <v>202000</v>
          </cell>
        </row>
        <row r="31">
          <cell r="W31">
            <v>3290898.51</v>
          </cell>
        </row>
        <row r="32">
          <cell r="W32">
            <v>365280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id="15" name="Tabla14567891011121314151617181920212216" displayName="Tabla14567891011121314151617181920212216" ref="A14:W33" totalsRowCount="1" headerRowDxfId="961" dataDxfId="960" totalsRowDxfId="959" totalsRowBorderDxfId="958">
  <autoFilter ref="A14:W32"/>
  <tableColumns count="23">
    <tableColumn id="1" name="ACTIVIDAD" dataDxfId="957" totalsRowDxfId="956"/>
    <tableColumn id="2" name="META" dataDxfId="955" totalsRowDxfId="954"/>
    <tableColumn id="3" name="EFICACIA" dataDxfId="953" totalsRowDxfId="952"/>
    <tableColumn id="25" name="PARTIDA" dataDxfId="951" totalsRowDxfId="950"/>
    <tableColumn id="4" name="CANT" dataDxfId="949" totalsRowDxfId="948"/>
    <tableColumn id="5" name="VARIABLE" dataDxfId="947" totalsRowDxfId="946"/>
    <tableColumn id="6" name="FEC. IND." dataDxfId="945" totalsRowDxfId="944"/>
    <tableColumn id="10" name="TG" dataDxfId="943" totalsRowDxfId="942"/>
    <tableColumn id="9" name="RECURSO" dataDxfId="941" totalsRowDxfId="940"/>
    <tableColumn id="8" name="ENE" dataDxfId="939" totalsRowDxfId="938" dataCellStyle="Millares">
      <calculatedColumnFormula>Tabla14567891011121314151617181920212216[[#This Row],[TOTAL]]/12</calculatedColumnFormula>
    </tableColumn>
    <tableColumn id="11" name="FEB" dataDxfId="937" totalsRowDxfId="936" dataCellStyle="Millares">
      <calculatedColumnFormula>Tabla14567891011121314151617181920212216[[#This Row],[ENE]]</calculatedColumnFormula>
    </tableColumn>
    <tableColumn id="12" name="MAR" dataDxfId="935" totalsRowDxfId="934" dataCellStyle="Millares">
      <calculatedColumnFormula>Tabla14567891011121314151617181920212216[[#This Row],[FEB]]</calculatedColumnFormula>
    </tableColumn>
    <tableColumn id="14" name="ABR" dataDxfId="933" totalsRowDxfId="932" dataCellStyle="Millares">
      <calculatedColumnFormula>Tabla14567891011121314151617181920212216[[#This Row],[MAR]]</calculatedColumnFormula>
    </tableColumn>
    <tableColumn id="15" name="MAY" dataDxfId="931" totalsRowDxfId="930" dataCellStyle="Millares">
      <calculatedColumnFormula>Tabla14567891011121314151617181920212216[[#This Row],[ABR]]</calculatedColumnFormula>
    </tableColumn>
    <tableColumn id="16" name="JUN" dataDxfId="929" totalsRowDxfId="928" dataCellStyle="Millares">
      <calculatedColumnFormula>Tabla14567891011121314151617181920212216[[#This Row],[MAY]]</calculatedColumnFormula>
    </tableColumn>
    <tableColumn id="17" name="JUL" dataDxfId="927" totalsRowDxfId="926" dataCellStyle="Millares">
      <calculatedColumnFormula>Tabla14567891011121314151617181920212216[[#This Row],[JUN]]</calculatedColumnFormula>
    </tableColumn>
    <tableColumn id="18" name="AGO" dataDxfId="925" totalsRowDxfId="924" dataCellStyle="Millares">
      <calculatedColumnFormula>Tabla14567891011121314151617181920212216[[#This Row],[JUL]]</calculatedColumnFormula>
    </tableColumn>
    <tableColumn id="19" name="SEP" dataDxfId="923" totalsRowDxfId="922" dataCellStyle="Millares">
      <calculatedColumnFormula>Tabla14567891011121314151617181920212216[[#This Row],[AGO]]</calculatedColumnFormula>
    </tableColumn>
    <tableColumn id="20" name="OCT" dataDxfId="921" totalsRowDxfId="920" dataCellStyle="Millares">
      <calculatedColumnFormula>Tabla14567891011121314151617181920212216[[#This Row],[SEP]]</calculatedColumnFormula>
    </tableColumn>
    <tableColumn id="21" name="NOV" dataDxfId="919" totalsRowDxfId="918" dataCellStyle="Millares">
      <calculatedColumnFormula>Tabla14567891011121314151617181920212216[[#This Row],[OCT]]</calculatedColumnFormula>
    </tableColumn>
    <tableColumn id="22" name="DIC" totalsRowLabel=" Total " dataDxfId="917" totalsRowDxfId="916" dataCellStyle="Millares">
      <calculatedColumnFormula>Tabla14567891011121314151617181920212216[[#This Row],[NOV]]</calculatedColumnFormula>
    </tableColumn>
    <tableColumn id="13" name="TOTAL" totalsRowFunction="sum" dataDxfId="915" totalsRowDxfId="914" dataCellStyle="Millares">
      <calculatedColumnFormula>SUM(Tabla14567891011121314151617181920212216[[#This Row],[ENE]:[DIC]])</calculatedColumnFormula>
    </tableColumn>
    <tableColumn id="7" name="CONSECUTIVO" dataDxfId="913" totalsRowDxfId="912" dataCellStyle="Millares"/>
  </tableColumns>
  <tableStyleInfo name="TableStyleMedium4" showFirstColumn="0" showLastColumn="0" showRowStripes="1" showColumnStripes="0"/>
</table>
</file>

<file path=xl/tables/table10.xml><?xml version="1.0" encoding="utf-8"?>
<table xmlns="http://schemas.openxmlformats.org/spreadsheetml/2006/main" id="4" name="Tabla145" displayName="Tabla145" ref="A14:V17" totalsRowCount="1" headerRowDxfId="527" dataDxfId="526" totalsRowDxfId="525" totalsRowBorderDxfId="524">
  <autoFilter ref="A14:V16"/>
  <tableColumns count="22">
    <tableColumn id="1" name="ACTIVIDAD" dataDxfId="523" totalsRowDxfId="522"/>
    <tableColumn id="2" name="META" dataDxfId="521" totalsRowDxfId="520"/>
    <tableColumn id="3" name="EFICACIA" dataDxfId="519" totalsRowDxfId="518"/>
    <tableColumn id="25" name="PARTIDA" dataDxfId="517" totalsRowDxfId="516"/>
    <tableColumn id="4" name="CANT" dataDxfId="515" totalsRowDxfId="514"/>
    <tableColumn id="5" name="VARIABLE" dataDxfId="513" totalsRowDxfId="512"/>
    <tableColumn id="6" name="FEC. IND." dataDxfId="511" totalsRowDxfId="510"/>
    <tableColumn id="10" name="TG" dataDxfId="509" totalsRowDxfId="508"/>
    <tableColumn id="9" name="RECURSO" dataDxfId="507" totalsRowDxfId="506"/>
    <tableColumn id="8" name="ENE" dataDxfId="505" totalsRowDxfId="504" dataCellStyle="Millares"/>
    <tableColumn id="11" name="FEB" dataDxfId="503" totalsRowDxfId="502" dataCellStyle="Millares"/>
    <tableColumn id="12" name="MAR" dataDxfId="501" totalsRowDxfId="500" dataCellStyle="Millares"/>
    <tableColumn id="14" name="ABR" dataDxfId="499" totalsRowDxfId="498" dataCellStyle="Millares"/>
    <tableColumn id="15" name="MAY" dataDxfId="497" totalsRowDxfId="496" dataCellStyle="Millares"/>
    <tableColumn id="16" name="JUN" dataDxfId="495" totalsRowDxfId="494" dataCellStyle="Millares"/>
    <tableColumn id="17" name="JUL" dataDxfId="493" totalsRowDxfId="492" dataCellStyle="Millares"/>
    <tableColumn id="18" name="AGO" dataDxfId="491" totalsRowDxfId="490" dataCellStyle="Millares"/>
    <tableColumn id="19" name="SEP" dataDxfId="489" totalsRowDxfId="488" dataCellStyle="Millares"/>
    <tableColumn id="20" name="OCT" dataDxfId="487" totalsRowDxfId="486" dataCellStyle="Millares"/>
    <tableColumn id="21" name="NOV" dataDxfId="485" totalsRowDxfId="484" dataCellStyle="Millares"/>
    <tableColumn id="22" name="DIC" totalsRowLabel=" Total " dataDxfId="483" totalsRowDxfId="482" dataCellStyle="Millares"/>
    <tableColumn id="13" name="TOTAL" totalsRowFunction="sum" dataDxfId="481" totalsRowDxfId="480" dataCellStyle="Millares">
      <calculatedColumnFormula>SUM(Tabla145[[#This Row],[ENE]:[DIC]])</calculatedColumnFormula>
    </tableColumn>
  </tableColumns>
  <tableStyleInfo name="TableStyleMedium4" showFirstColumn="0" showLastColumn="0" showRowStripes="1" showColumnStripes="0"/>
</table>
</file>

<file path=xl/tables/table11.xml><?xml version="1.0" encoding="utf-8"?>
<table xmlns="http://schemas.openxmlformats.org/spreadsheetml/2006/main" id="3" name="Tabla14" displayName="Tabla14" ref="A14:V18" totalsRowCount="1" headerRowDxfId="479" dataDxfId="478" totalsRowDxfId="477" totalsRowBorderDxfId="476">
  <autoFilter ref="A14:V17"/>
  <tableColumns count="22">
    <tableColumn id="1" name="ACTIVIDAD" dataDxfId="475" totalsRowDxfId="474"/>
    <tableColumn id="2" name="META" dataDxfId="473" totalsRowDxfId="472"/>
    <tableColumn id="3" name="EFICACIA" dataDxfId="471" totalsRowDxfId="470"/>
    <tableColumn id="25" name="PARTIDA" dataDxfId="469" totalsRowDxfId="468"/>
    <tableColumn id="4" name="CANT" dataDxfId="467" totalsRowDxfId="466"/>
    <tableColumn id="5" name="VARIABLE" dataDxfId="465" totalsRowDxfId="464"/>
    <tableColumn id="6" name="FEC. IND." dataDxfId="463" totalsRowDxfId="462"/>
    <tableColumn id="10" name="TG" dataDxfId="461" totalsRowDxfId="460"/>
    <tableColumn id="9" name="RECURSO" dataDxfId="459" totalsRowDxfId="458"/>
    <tableColumn id="8" name="ENE" dataDxfId="457" totalsRowDxfId="456" dataCellStyle="Millares"/>
    <tableColumn id="11" name="FEB" dataDxfId="455" totalsRowDxfId="454" dataCellStyle="Millares"/>
    <tableColumn id="12" name="MAR" dataDxfId="453" totalsRowDxfId="452" dataCellStyle="Millares"/>
    <tableColumn id="14" name="ABR" dataDxfId="451" totalsRowDxfId="450" dataCellStyle="Millares"/>
    <tableColumn id="15" name="MAY" dataDxfId="449" totalsRowDxfId="448" dataCellStyle="Millares"/>
    <tableColumn id="16" name="JUN" dataDxfId="447" totalsRowDxfId="446" dataCellStyle="Millares"/>
    <tableColumn id="17" name="JUL" dataDxfId="445" totalsRowDxfId="444" dataCellStyle="Millares"/>
    <tableColumn id="18" name="AGO" dataDxfId="443" totalsRowDxfId="442" dataCellStyle="Millares"/>
    <tableColumn id="19" name="SEP" dataDxfId="441" totalsRowDxfId="440" dataCellStyle="Millares"/>
    <tableColumn id="20" name="OCT" dataDxfId="439" totalsRowDxfId="438" dataCellStyle="Millares"/>
    <tableColumn id="21" name="NOV" dataDxfId="437" totalsRowDxfId="436" dataCellStyle="Millares"/>
    <tableColumn id="22" name="DIC" totalsRowLabel=" Total " dataDxfId="435" totalsRowDxfId="434" dataCellStyle="Millares"/>
    <tableColumn id="13" name="TOTAL" totalsRowFunction="sum" dataDxfId="433" totalsRowDxfId="432" dataCellStyle="Millares">
      <calculatedColumnFormula>SUM(Tabla14[[#This Row],[ENE]:[DIC]])</calculatedColumnFormula>
    </tableColumn>
  </tableColumns>
  <tableStyleInfo name="TableStyleMedium4" showFirstColumn="0" showLastColumn="0" showRowStripes="1" showColumnStripes="0"/>
</table>
</file>

<file path=xl/tables/table12.xml><?xml version="1.0" encoding="utf-8"?>
<table xmlns="http://schemas.openxmlformats.org/spreadsheetml/2006/main" id="10" name="Tabla14567891011" displayName="Tabla14567891011" ref="A14:V16" totalsRowCount="1" headerRowDxfId="431" dataDxfId="430" totalsRowDxfId="429" totalsRowBorderDxfId="428">
  <autoFilter ref="A14:V15"/>
  <tableColumns count="22">
    <tableColumn id="1" name="ACTIVIDAD" dataDxfId="427" totalsRowDxfId="426"/>
    <tableColumn id="2" name="META" dataDxfId="425" totalsRowDxfId="424"/>
    <tableColumn id="3" name="EFICACIA" dataDxfId="423" totalsRowDxfId="422"/>
    <tableColumn id="25" name="PARTIDA" dataDxfId="421" totalsRowDxfId="420"/>
    <tableColumn id="4" name="CANT" dataDxfId="419" totalsRowDxfId="418"/>
    <tableColumn id="5" name="VARIABLE" dataDxfId="417" totalsRowDxfId="416"/>
    <tableColumn id="6" name="FEC. IND." dataDxfId="415" totalsRowDxfId="414"/>
    <tableColumn id="10" name="TG" dataDxfId="413" totalsRowDxfId="412"/>
    <tableColumn id="9" name="RECURSO" dataDxfId="411" totalsRowDxfId="410"/>
    <tableColumn id="8" name="ENE" dataDxfId="409" totalsRowDxfId="408" dataCellStyle="Millares"/>
    <tableColumn id="11" name="FEB" dataDxfId="407" totalsRowDxfId="406" dataCellStyle="Millares"/>
    <tableColumn id="12" name="MAR" dataDxfId="405" totalsRowDxfId="404" dataCellStyle="Millares"/>
    <tableColumn id="14" name="ABR" dataDxfId="403" totalsRowDxfId="402" dataCellStyle="Millares"/>
    <tableColumn id="15" name="MAY" dataDxfId="401" totalsRowDxfId="400" dataCellStyle="Millares"/>
    <tableColumn id="16" name="JUN" dataDxfId="399" totalsRowDxfId="398" dataCellStyle="Millares"/>
    <tableColumn id="17" name="JUL" dataDxfId="397" totalsRowDxfId="396" dataCellStyle="Millares"/>
    <tableColumn id="18" name="AGO" dataDxfId="395" totalsRowDxfId="394" dataCellStyle="Millares"/>
    <tableColumn id="19" name="SEP" dataDxfId="393" totalsRowDxfId="392" dataCellStyle="Millares"/>
    <tableColumn id="20" name="OCT" dataDxfId="391" totalsRowDxfId="390" dataCellStyle="Millares"/>
    <tableColumn id="21" name="NOV" dataDxfId="389" totalsRowDxfId="388" dataCellStyle="Millares"/>
    <tableColumn id="22" name="DIC" totalsRowLabel=" Total " dataDxfId="387" totalsRowDxfId="386" dataCellStyle="Millares"/>
    <tableColumn id="13" name="TOTAL" totalsRowFunction="sum" dataDxfId="385" totalsRowDxfId="384" dataCellStyle="Millares">
      <calculatedColumnFormula>SUM(Tabla14567891011[[#This Row],[ENE]:[DIC]])</calculatedColumnFormula>
    </tableColumn>
  </tableColumns>
  <tableStyleInfo name="TableStyleMedium4" showFirstColumn="0" showLastColumn="0" showRowStripes="1" showColumnStripes="0"/>
</table>
</file>

<file path=xl/tables/table13.xml><?xml version="1.0" encoding="utf-8"?>
<table xmlns="http://schemas.openxmlformats.org/spreadsheetml/2006/main" id="7" name="Tabla145678" displayName="Tabla145678" ref="A14:V18" totalsRowCount="1" headerRowDxfId="383" dataDxfId="382" totalsRowDxfId="381" totalsRowBorderDxfId="380">
  <autoFilter ref="A14:V17"/>
  <tableColumns count="22">
    <tableColumn id="1" name="ACTIVIDAD" dataDxfId="379" totalsRowDxfId="378"/>
    <tableColumn id="2" name="META" dataDxfId="377" totalsRowDxfId="376"/>
    <tableColumn id="3" name="EFICACIA" dataDxfId="375" totalsRowDxfId="374"/>
    <tableColumn id="25" name="PARTIDA" dataDxfId="373" totalsRowDxfId="372"/>
    <tableColumn id="4" name="CANT" dataDxfId="371" totalsRowDxfId="370"/>
    <tableColumn id="5" name="VARIABLE" dataDxfId="369" totalsRowDxfId="368"/>
    <tableColumn id="6" name="FEC. IND." dataDxfId="367" totalsRowDxfId="366"/>
    <tableColumn id="10" name="TG" dataDxfId="365" totalsRowDxfId="364"/>
    <tableColumn id="9" name="RECURSO" dataDxfId="363" totalsRowDxfId="362"/>
    <tableColumn id="8" name="ENE" dataDxfId="361" totalsRowDxfId="360" dataCellStyle="Millares"/>
    <tableColumn id="11" name="FEB" dataDxfId="359" totalsRowDxfId="358" dataCellStyle="Millares"/>
    <tableColumn id="12" name="MAR" dataDxfId="357" totalsRowDxfId="356" dataCellStyle="Millares"/>
    <tableColumn id="14" name="ABR" dataDxfId="355" totalsRowDxfId="354" dataCellStyle="Millares"/>
    <tableColumn id="15" name="MAY" dataDxfId="353" totalsRowDxfId="352" dataCellStyle="Millares"/>
    <tableColumn id="16" name="JUN" dataDxfId="351" totalsRowDxfId="350" dataCellStyle="Millares"/>
    <tableColumn id="17" name="JUL" dataDxfId="349" totalsRowDxfId="348" dataCellStyle="Millares"/>
    <tableColumn id="18" name="AGO" dataDxfId="347" totalsRowDxfId="346" dataCellStyle="Millares"/>
    <tableColumn id="19" name="SEP" dataDxfId="345" totalsRowDxfId="344" dataCellStyle="Millares"/>
    <tableColumn id="20" name="OCT" dataDxfId="343" totalsRowDxfId="342" dataCellStyle="Millares"/>
    <tableColumn id="21" name="NOV" dataDxfId="341" totalsRowDxfId="340" dataCellStyle="Millares"/>
    <tableColumn id="22" name="DIC" totalsRowLabel=" Total " dataDxfId="339" totalsRowDxfId="338" dataCellStyle="Millares"/>
    <tableColumn id="13" name="TOTAL" totalsRowFunction="sum" dataDxfId="337" totalsRowDxfId="336" dataCellStyle="Millares">
      <calculatedColumnFormula>SUM(Tabla145678[[#This Row],[ENE]:[DIC]])</calculatedColumnFormula>
    </tableColumn>
  </tableColumns>
  <tableStyleInfo name="TableStyleMedium4" showFirstColumn="0" showLastColumn="0" showRowStripes="1" showColumnStripes="0"/>
</table>
</file>

<file path=xl/tables/table14.xml><?xml version="1.0" encoding="utf-8"?>
<table xmlns="http://schemas.openxmlformats.org/spreadsheetml/2006/main" id="13" name="Tabla14567891011121314" displayName="Tabla14567891011121314" ref="A14:V16" totalsRowCount="1" headerRowDxfId="335" dataDxfId="334" totalsRowDxfId="333" totalsRowBorderDxfId="332">
  <autoFilter ref="A14:V15"/>
  <tableColumns count="22">
    <tableColumn id="1" name="ACTIVIDAD" dataDxfId="331" totalsRowDxfId="330"/>
    <tableColumn id="2" name="META" dataDxfId="329" totalsRowDxfId="328"/>
    <tableColumn id="3" name="EFICACIA" dataDxfId="327" totalsRowDxfId="326"/>
    <tableColumn id="25" name="PARTIDA" dataDxfId="325" totalsRowDxfId="324"/>
    <tableColumn id="4" name="CANT" dataDxfId="323" totalsRowDxfId="322"/>
    <tableColumn id="5" name="VARIABLE" dataDxfId="321" totalsRowDxfId="320"/>
    <tableColumn id="6" name="FEC. IND." dataDxfId="319" totalsRowDxfId="318"/>
    <tableColumn id="10" name="TG" dataDxfId="317" totalsRowDxfId="316"/>
    <tableColumn id="9" name="RECURSO" dataDxfId="315" totalsRowDxfId="314"/>
    <tableColumn id="8" name="ENE" dataDxfId="313" totalsRowDxfId="312" dataCellStyle="Millares"/>
    <tableColumn id="11" name="FEB" dataDxfId="311" totalsRowDxfId="310" dataCellStyle="Millares"/>
    <tableColumn id="12" name="MAR" dataDxfId="309" totalsRowDxfId="308" dataCellStyle="Millares"/>
    <tableColumn id="14" name="ABR" dataDxfId="307" totalsRowDxfId="306" dataCellStyle="Millares"/>
    <tableColumn id="15" name="MAY" dataDxfId="305" totalsRowDxfId="304" dataCellStyle="Millares"/>
    <tableColumn id="16" name="JUN" dataDxfId="303" totalsRowDxfId="302" dataCellStyle="Millares"/>
    <tableColumn id="17" name="JUL" dataDxfId="301" totalsRowDxfId="300" dataCellStyle="Millares"/>
    <tableColumn id="18" name="AGO" dataDxfId="299" totalsRowDxfId="298" dataCellStyle="Millares"/>
    <tableColumn id="19" name="SEP" dataDxfId="297" totalsRowDxfId="296" dataCellStyle="Millares"/>
    <tableColumn id="20" name="OCT" dataDxfId="295" totalsRowDxfId="294" dataCellStyle="Millares"/>
    <tableColumn id="21" name="NOV" dataDxfId="293" totalsRowDxfId="292" dataCellStyle="Millares"/>
    <tableColumn id="22" name="DIC" totalsRowLabel=" Total " dataDxfId="291" totalsRowDxfId="290" dataCellStyle="Millares"/>
    <tableColumn id="13" name="TOTAL" totalsRowFunction="sum" dataDxfId="289" totalsRowDxfId="288" dataCellStyle="Millares">
      <calculatedColumnFormula>SUM(Tabla14567891011121314[[#This Row],[ENE]:[DIC]])</calculatedColumnFormula>
    </tableColumn>
  </tableColumns>
  <tableStyleInfo name="TableStyleMedium4" showFirstColumn="0" showLastColumn="0" showRowStripes="1" showColumnStripes="0"/>
</table>
</file>

<file path=xl/tables/table15.xml><?xml version="1.0" encoding="utf-8"?>
<table xmlns="http://schemas.openxmlformats.org/spreadsheetml/2006/main" id="20" name="Tabla1456789101112131415161718192021" displayName="Tabla1456789101112131415161718192021" ref="A14:V18" totalsRowCount="1" headerRowDxfId="287" dataDxfId="286" totalsRowDxfId="285" totalsRowBorderDxfId="284">
  <autoFilter ref="A14:V17"/>
  <tableColumns count="22">
    <tableColumn id="1" name="ACTIVIDAD" dataDxfId="283" totalsRowDxfId="282"/>
    <tableColumn id="2" name="META" dataDxfId="281" totalsRowDxfId="280"/>
    <tableColumn id="3" name="EFICACIA" dataDxfId="279" totalsRowDxfId="278"/>
    <tableColumn id="25" name="PARTIDA" dataDxfId="277" totalsRowDxfId="276"/>
    <tableColumn id="4" name="CANT" dataDxfId="275" totalsRowDxfId="274"/>
    <tableColumn id="5" name="VARIABLE" dataDxfId="273" totalsRowDxfId="272"/>
    <tableColumn id="6" name="FEC. IND." dataDxfId="271" totalsRowDxfId="270"/>
    <tableColumn id="10" name="TG" dataDxfId="269" totalsRowDxfId="268"/>
    <tableColumn id="9" name="RECURSO" dataDxfId="267" totalsRowDxfId="266"/>
    <tableColumn id="8" name="ENE" dataDxfId="265" totalsRowDxfId="264" dataCellStyle="Millares"/>
    <tableColumn id="11" name="FEB" dataDxfId="263" totalsRowDxfId="262" dataCellStyle="Millares"/>
    <tableColumn id="12" name="MAR" dataDxfId="261" totalsRowDxfId="260" dataCellStyle="Millares"/>
    <tableColumn id="14" name="ABR" dataDxfId="259" totalsRowDxfId="258" dataCellStyle="Millares"/>
    <tableColumn id="15" name="MAY" dataDxfId="257" totalsRowDxfId="256" dataCellStyle="Millares"/>
    <tableColumn id="16" name="JUN" dataDxfId="255" totalsRowDxfId="254" dataCellStyle="Millares"/>
    <tableColumn id="17" name="JUL" dataDxfId="253" totalsRowDxfId="252" dataCellStyle="Millares"/>
    <tableColumn id="18" name="AGO" dataDxfId="251" totalsRowDxfId="250" dataCellStyle="Millares"/>
    <tableColumn id="19" name="SEP" dataDxfId="249" totalsRowDxfId="248" dataCellStyle="Millares"/>
    <tableColumn id="20" name="OCT" dataDxfId="247" totalsRowDxfId="246" dataCellStyle="Millares"/>
    <tableColumn id="21" name="NOV" dataDxfId="245" totalsRowDxfId="244" dataCellStyle="Millares"/>
    <tableColumn id="22" name="DIC" totalsRowLabel=" Total " dataDxfId="243" totalsRowDxfId="242" dataCellStyle="Millares"/>
    <tableColumn id="13" name="TOTAL" totalsRowFunction="sum" dataDxfId="241" totalsRowDxfId="240" dataCellStyle="Millares">
      <calculatedColumnFormula>SUM(Tabla1456789101112131415161718192021[[#This Row],[ENE]:[DIC]])</calculatedColumnFormula>
    </tableColumn>
  </tableColumns>
  <tableStyleInfo name="TableStyleMedium4" showFirstColumn="0" showLastColumn="0" showRowStripes="1" showColumnStripes="0"/>
</table>
</file>

<file path=xl/tables/table16.xml><?xml version="1.0" encoding="utf-8"?>
<table xmlns="http://schemas.openxmlformats.org/spreadsheetml/2006/main" id="8" name="Tabla1456789" displayName="Tabla1456789" ref="A14:V18" totalsRowCount="1" headerRowDxfId="239" dataDxfId="238" totalsRowDxfId="237" totalsRowBorderDxfId="236">
  <autoFilter ref="A14:V17"/>
  <tableColumns count="22">
    <tableColumn id="1" name="ACTIVIDAD" dataDxfId="235" totalsRowDxfId="234"/>
    <tableColumn id="2" name="META" dataDxfId="233" totalsRowDxfId="232"/>
    <tableColumn id="3" name="EFICACIA" dataDxfId="231" totalsRowDxfId="230"/>
    <tableColumn id="25" name="PARTIDA" dataDxfId="229" totalsRowDxfId="228"/>
    <tableColumn id="4" name="CANT" dataDxfId="227" totalsRowDxfId="226"/>
    <tableColumn id="5" name="VARIABLE" dataDxfId="225" totalsRowDxfId="224"/>
    <tableColumn id="6" name="FEC. IND." dataDxfId="223" totalsRowDxfId="222"/>
    <tableColumn id="10" name="TG" dataDxfId="221" totalsRowDxfId="220"/>
    <tableColumn id="9" name="RECURSO" dataDxfId="219" totalsRowDxfId="218"/>
    <tableColumn id="8" name="ENE" dataDxfId="217" totalsRowDxfId="216" dataCellStyle="Millares"/>
    <tableColumn id="11" name="FEB" dataDxfId="215" totalsRowDxfId="214" dataCellStyle="Millares"/>
    <tableColumn id="12" name="MAR" dataDxfId="213" totalsRowDxfId="212" dataCellStyle="Millares"/>
    <tableColumn id="14" name="ABR" dataDxfId="211" totalsRowDxfId="210" dataCellStyle="Millares"/>
    <tableColumn id="15" name="MAY" dataDxfId="209" totalsRowDxfId="208" dataCellStyle="Millares"/>
    <tableColumn id="16" name="JUN" dataDxfId="207" totalsRowDxfId="206" dataCellStyle="Millares"/>
    <tableColumn id="17" name="JUL" dataDxfId="205" totalsRowDxfId="204" dataCellStyle="Millares"/>
    <tableColumn id="18" name="AGO" dataDxfId="203" totalsRowDxfId="202" dataCellStyle="Millares"/>
    <tableColumn id="19" name="SEP" dataDxfId="201" totalsRowDxfId="200" dataCellStyle="Millares"/>
    <tableColumn id="20" name="OCT" dataDxfId="199" totalsRowDxfId="198" dataCellStyle="Millares"/>
    <tableColumn id="21" name="NOV" dataDxfId="197" totalsRowDxfId="196" dataCellStyle="Millares"/>
    <tableColumn id="22" name="DIC" totalsRowLabel=" Total " dataDxfId="195" totalsRowDxfId="194" dataCellStyle="Millares"/>
    <tableColumn id="13" name="TOTAL" totalsRowFunction="sum" dataDxfId="193" totalsRowDxfId="192" dataCellStyle="Millares">
      <calculatedColumnFormula>SUM(Tabla1456789[[#This Row],[ENE]:[DIC]])</calculatedColumnFormula>
    </tableColumn>
  </tableColumns>
  <tableStyleInfo name="TableStyleMedium4" showFirstColumn="0" showLastColumn="0" showRowStripes="1" showColumnStripes="0"/>
</table>
</file>

<file path=xl/tables/table17.xml><?xml version="1.0" encoding="utf-8"?>
<table xmlns="http://schemas.openxmlformats.org/spreadsheetml/2006/main" id="12" name="Tabla145678910111213" displayName="Tabla145678910111213" ref="A14:V17" totalsRowCount="1" headerRowDxfId="191" dataDxfId="190" totalsRowDxfId="189" totalsRowBorderDxfId="188">
  <autoFilter ref="A14:V16"/>
  <tableColumns count="22">
    <tableColumn id="1" name="ACTIVIDAD" dataDxfId="187" totalsRowDxfId="186"/>
    <tableColumn id="2" name="META" dataDxfId="185" totalsRowDxfId="184"/>
    <tableColumn id="3" name="EFICACIA" dataDxfId="183" totalsRowDxfId="182"/>
    <tableColumn id="25" name="PARTIDA" dataDxfId="181" totalsRowDxfId="180"/>
    <tableColumn id="4" name="CANT" dataDxfId="179" totalsRowDxfId="178"/>
    <tableColumn id="5" name="VARIABLE" dataDxfId="177" totalsRowDxfId="176"/>
    <tableColumn id="6" name="FEC. IND." dataDxfId="175" totalsRowDxfId="174"/>
    <tableColumn id="10" name="TG" dataDxfId="173" totalsRowDxfId="172"/>
    <tableColumn id="9" name="RECURSO" dataDxfId="171" totalsRowDxfId="170"/>
    <tableColumn id="8" name="ENE" dataDxfId="169" totalsRowDxfId="168" dataCellStyle="Millares"/>
    <tableColumn id="11" name="FEB" dataDxfId="167" totalsRowDxfId="166" dataCellStyle="Millares"/>
    <tableColumn id="12" name="MAR" dataDxfId="165" totalsRowDxfId="164" dataCellStyle="Millares"/>
    <tableColumn id="14" name="ABR" dataDxfId="163" totalsRowDxfId="162" dataCellStyle="Millares"/>
    <tableColumn id="15" name="MAY" dataDxfId="161" totalsRowDxfId="160" dataCellStyle="Millares"/>
    <tableColumn id="16" name="JUN" dataDxfId="159" totalsRowDxfId="158" dataCellStyle="Millares"/>
    <tableColumn id="17" name="JUL" dataDxfId="157" totalsRowDxfId="156" dataCellStyle="Millares"/>
    <tableColumn id="18" name="AGO" dataDxfId="155" totalsRowDxfId="154" dataCellStyle="Millares"/>
    <tableColumn id="19" name="SEP" dataDxfId="153" totalsRowDxfId="152" dataCellStyle="Millares"/>
    <tableColumn id="20" name="OCT" dataDxfId="151" totalsRowDxfId="150" dataCellStyle="Millares"/>
    <tableColumn id="21" name="NOV" dataDxfId="149" totalsRowDxfId="148" dataCellStyle="Millares"/>
    <tableColumn id="22" name="DIC" totalsRowLabel=" Total " dataDxfId="147" totalsRowDxfId="146" dataCellStyle="Millares"/>
    <tableColumn id="13" name="TOTAL" totalsRowFunction="sum" dataDxfId="145" totalsRowDxfId="144" dataCellStyle="Millares">
      <calculatedColumnFormula>SUM(Tabla145678910111213[[#This Row],[ENE]:[DIC]])</calculatedColumnFormula>
    </tableColumn>
  </tableColumns>
  <tableStyleInfo name="TableStyleMedium4" showFirstColumn="0" showLastColumn="0" showRowStripes="1" showColumnStripes="0"/>
</table>
</file>

<file path=xl/tables/table18.xml><?xml version="1.0" encoding="utf-8"?>
<table xmlns="http://schemas.openxmlformats.org/spreadsheetml/2006/main" id="6" name="Tabla14567" displayName="Tabla14567" ref="A14:V20" totalsRowCount="1" headerRowDxfId="143" dataDxfId="142" totalsRowDxfId="141" totalsRowBorderDxfId="140">
  <autoFilter ref="A14:V19"/>
  <tableColumns count="22">
    <tableColumn id="1" name="ACTIVIDAD" dataDxfId="139" totalsRowDxfId="138"/>
    <tableColumn id="2" name="META" dataDxfId="137" totalsRowDxfId="136"/>
    <tableColumn id="3" name="EFICACIA" dataDxfId="135" totalsRowDxfId="134"/>
    <tableColumn id="25" name="PARTIDA" dataDxfId="133" totalsRowDxfId="132"/>
    <tableColumn id="4" name="CANT" dataDxfId="131" totalsRowDxfId="130"/>
    <tableColumn id="5" name="VARIABLE" dataDxfId="129" totalsRowDxfId="128"/>
    <tableColumn id="6" name="FEC. IND." dataDxfId="127" totalsRowDxfId="126"/>
    <tableColumn id="10" name="TG" dataDxfId="125" totalsRowDxfId="124"/>
    <tableColumn id="9" name="RECURSO" dataDxfId="123" totalsRowDxfId="122"/>
    <tableColumn id="8" name="ENE" dataDxfId="121" totalsRowDxfId="120" dataCellStyle="Millares"/>
    <tableColumn id="11" name="FEB" dataDxfId="119" totalsRowDxfId="118" dataCellStyle="Millares"/>
    <tableColumn id="12" name="MAR" dataDxfId="117" totalsRowDxfId="116" dataCellStyle="Millares"/>
    <tableColumn id="14" name="ABR" dataDxfId="115" totalsRowDxfId="114" dataCellStyle="Millares"/>
    <tableColumn id="15" name="MAY" dataDxfId="113" totalsRowDxfId="112" dataCellStyle="Millares"/>
    <tableColumn id="16" name="JUN" dataDxfId="111" totalsRowDxfId="110" dataCellStyle="Millares"/>
    <tableColumn id="17" name="JUL" dataDxfId="109" totalsRowDxfId="108" dataCellStyle="Millares"/>
    <tableColumn id="18" name="AGO" dataDxfId="107" totalsRowDxfId="106" dataCellStyle="Millares"/>
    <tableColumn id="19" name="SEP" dataDxfId="105" totalsRowDxfId="104" dataCellStyle="Millares"/>
    <tableColumn id="20" name="OCT" dataDxfId="103" totalsRowDxfId="102" dataCellStyle="Millares"/>
    <tableColumn id="21" name="NOV" dataDxfId="101" totalsRowDxfId="100" dataCellStyle="Millares"/>
    <tableColumn id="22" name="DIC" totalsRowLabel=" Total " dataDxfId="99" totalsRowDxfId="98" dataCellStyle="Millares"/>
    <tableColumn id="13" name="TOTAL" totalsRowFunction="sum" dataDxfId="97" totalsRowDxfId="96" dataCellStyle="Millares">
      <calculatedColumnFormula>SUM(Tabla14567[[#This Row],[ENE]:[DIC]])</calculatedColumnFormula>
    </tableColumn>
  </tableColumns>
  <tableStyleInfo name="TableStyleMedium4" showFirstColumn="0" showLastColumn="0" showRowStripes="1" showColumnStripes="0"/>
</table>
</file>

<file path=xl/tables/table19.xml><?xml version="1.0" encoding="utf-8"?>
<table xmlns="http://schemas.openxmlformats.org/spreadsheetml/2006/main" id="11" name="Tabla1456789101112" displayName="Tabla1456789101112" ref="A14:V17" totalsRowCount="1" headerRowDxfId="95" dataDxfId="94" totalsRowDxfId="93" totalsRowBorderDxfId="92">
  <autoFilter ref="A14:V16"/>
  <tableColumns count="22">
    <tableColumn id="1" name="ACTIVIDAD" dataDxfId="91" totalsRowDxfId="90"/>
    <tableColumn id="2" name="META" dataDxfId="89" totalsRowDxfId="88"/>
    <tableColumn id="3" name="EFICACIA" dataDxfId="87" totalsRowDxfId="86"/>
    <tableColumn id="25" name="PARTIDA" dataDxfId="85" totalsRowDxfId="84"/>
    <tableColumn id="4" name="CANT" dataDxfId="83" totalsRowDxfId="82"/>
    <tableColumn id="5" name="VARIABLE" dataDxfId="81" totalsRowDxfId="80"/>
    <tableColumn id="6" name="FEC. IND." dataDxfId="79" totalsRowDxfId="78"/>
    <tableColumn id="10" name="TG" dataDxfId="77" totalsRowDxfId="76"/>
    <tableColumn id="9" name="RECURSO" dataDxfId="75" totalsRowDxfId="74"/>
    <tableColumn id="8" name="ENE" dataDxfId="73" totalsRowDxfId="72" dataCellStyle="Millares"/>
    <tableColumn id="11" name="FEB" dataDxfId="71" totalsRowDxfId="70" dataCellStyle="Millares"/>
    <tableColumn id="12" name="MAR" dataDxfId="69" totalsRowDxfId="68" dataCellStyle="Millares"/>
    <tableColumn id="14" name="ABR" dataDxfId="67" totalsRowDxfId="66" dataCellStyle="Millares"/>
    <tableColumn id="15" name="MAY" dataDxfId="65" totalsRowDxfId="64" dataCellStyle="Millares"/>
    <tableColumn id="16" name="JUN" dataDxfId="63" totalsRowDxfId="62" dataCellStyle="Millares"/>
    <tableColumn id="17" name="JUL" dataDxfId="61" totalsRowDxfId="60" dataCellStyle="Millares"/>
    <tableColumn id="18" name="AGO" dataDxfId="59" totalsRowDxfId="58" dataCellStyle="Millares"/>
    <tableColumn id="19" name="SEP" dataDxfId="57" totalsRowDxfId="56" dataCellStyle="Millares"/>
    <tableColumn id="20" name="OCT" dataDxfId="55" totalsRowDxfId="54" dataCellStyle="Millares"/>
    <tableColumn id="21" name="NOV" dataDxfId="53" totalsRowDxfId="52" dataCellStyle="Millares"/>
    <tableColumn id="22" name="DIC" totalsRowLabel=" Total " dataDxfId="51" totalsRowDxfId="50" dataCellStyle="Millares"/>
    <tableColumn id="13" name="TOTAL" totalsRowFunction="sum" dataDxfId="49" totalsRowDxfId="48" dataCellStyle="Millares">
      <calculatedColumnFormula>SUM(Tabla1456789101112[[#This Row],[ENE]:[DIC]])</calculatedColumnFormula>
    </tableColumn>
  </tableColumns>
  <tableStyleInfo name="TableStyleMedium4" showFirstColumn="0" showLastColumn="0" showRowStripes="1" showColumnStripes="0"/>
</table>
</file>

<file path=xl/tables/table2.xml><?xml version="1.0" encoding="utf-8"?>
<table xmlns="http://schemas.openxmlformats.org/spreadsheetml/2006/main" id="21" name="Tabla145678910111213141516171819202122" displayName="Tabla145678910111213141516171819202122" ref="A14:V31" totalsRowCount="1" headerRowDxfId="911" dataDxfId="910" totalsRowDxfId="909" totalsRowBorderDxfId="908">
  <autoFilter ref="A14:V30"/>
  <tableColumns count="22">
    <tableColumn id="1" name="ACTIVIDAD" dataDxfId="907" totalsRowDxfId="906"/>
    <tableColumn id="2" name="META" dataDxfId="905" totalsRowDxfId="904"/>
    <tableColumn id="3" name="EFICACIA" dataDxfId="903" totalsRowDxfId="902"/>
    <tableColumn id="25" name="PARTIDA" dataDxfId="901" totalsRowDxfId="900"/>
    <tableColumn id="4" name="CANT" dataDxfId="899" totalsRowDxfId="898"/>
    <tableColumn id="5" name="VARIABLE" dataDxfId="897" totalsRowDxfId="896"/>
    <tableColumn id="6" name="FEC. IND." dataDxfId="895" totalsRowDxfId="894"/>
    <tableColumn id="10" name="TG" dataDxfId="893" totalsRowDxfId="892"/>
    <tableColumn id="9" name="RECURSO" dataDxfId="891" totalsRowDxfId="890"/>
    <tableColumn id="8" name="ENE" dataDxfId="889" totalsRowDxfId="888" dataCellStyle="Millares"/>
    <tableColumn id="11" name="FEB" dataDxfId="887" totalsRowDxfId="886" dataCellStyle="Millares"/>
    <tableColumn id="12" name="MAR" dataDxfId="885" totalsRowDxfId="884" dataCellStyle="Millares"/>
    <tableColumn id="14" name="ABR" dataDxfId="883" totalsRowDxfId="882" dataCellStyle="Millares"/>
    <tableColumn id="15" name="MAY" dataDxfId="881" totalsRowDxfId="880" dataCellStyle="Millares"/>
    <tableColumn id="16" name="JUN" dataDxfId="879" totalsRowDxfId="878" dataCellStyle="Millares"/>
    <tableColumn id="17" name="JUL" dataDxfId="877" totalsRowDxfId="876" dataCellStyle="Millares"/>
    <tableColumn id="18" name="AGO" dataDxfId="875" totalsRowDxfId="874" dataCellStyle="Millares"/>
    <tableColumn id="19" name="SEP" dataDxfId="873" totalsRowDxfId="872" dataCellStyle="Millares"/>
    <tableColumn id="20" name="OCT" dataDxfId="871" totalsRowDxfId="870" dataCellStyle="Millares"/>
    <tableColumn id="21" name="NOV" dataDxfId="869" totalsRowDxfId="868" dataCellStyle="Millares"/>
    <tableColumn id="22" name="DIC" totalsRowLabel=" Total " dataDxfId="867" totalsRowDxfId="866" dataCellStyle="Millares"/>
    <tableColumn id="13" name="TOTAL" totalsRowFunction="sum" dataDxfId="865" totalsRowDxfId="864" dataCellStyle="Millares">
      <calculatedColumnFormula>SUM(Tabla145678910111213141516171819202122[[#This Row],[ENE]:[DIC]])</calculatedColumnFormula>
    </tableColumn>
  </tableColumns>
  <tableStyleInfo name="TableStyleMedium4" showFirstColumn="0" showLastColumn="0" showRowStripes="1" showColumnStripes="0"/>
</table>
</file>

<file path=xl/tables/table20.xml><?xml version="1.0" encoding="utf-8"?>
<table xmlns="http://schemas.openxmlformats.org/spreadsheetml/2006/main" id="2" name="Tabla13" displayName="Tabla13" ref="A14:V20" totalsRowCount="1" headerRowDxfId="47" dataDxfId="46" totalsRowDxfId="45" totalsRowBorderDxfId="44">
  <autoFilter ref="A14:V19"/>
  <tableColumns count="22">
    <tableColumn id="1" name="ACTIVIDAD" dataDxfId="43" totalsRowDxfId="42"/>
    <tableColumn id="2" name="META" dataDxfId="41" totalsRowDxfId="40"/>
    <tableColumn id="3" name="EFICACIA" dataDxfId="39" totalsRowDxfId="38"/>
    <tableColumn id="25" name="PARTIDA" dataDxfId="37" totalsRowDxfId="36"/>
    <tableColumn id="4" name="CANT" dataDxfId="35" totalsRowDxfId="34"/>
    <tableColumn id="5" name="VARIABLE" dataDxfId="33" totalsRowDxfId="32"/>
    <tableColumn id="6" name="FEC. IND." dataDxfId="31" totalsRowDxfId="30"/>
    <tableColumn id="10" name="TG" dataDxfId="29" totalsRowDxfId="28"/>
    <tableColumn id="9" name="RECURSO" dataDxfId="27" totalsRowDxfId="26"/>
    <tableColumn id="8" name="ENE" dataDxfId="25" totalsRowDxfId="24" dataCellStyle="Millares"/>
    <tableColumn id="11" name="FEB" dataDxfId="23" totalsRowDxfId="22" dataCellStyle="Millares"/>
    <tableColumn id="12" name="MAR" dataDxfId="21" totalsRowDxfId="20" dataCellStyle="Millares"/>
    <tableColumn id="14" name="ABR" dataDxfId="19" totalsRowDxfId="18" dataCellStyle="Millares"/>
    <tableColumn id="15" name="MAY" dataDxfId="17" totalsRowDxfId="16" dataCellStyle="Millares"/>
    <tableColumn id="16" name="JUN" dataDxfId="15" totalsRowDxfId="14" dataCellStyle="Millares"/>
    <tableColumn id="17" name="JUL" dataDxfId="13" totalsRowDxfId="12" dataCellStyle="Millares"/>
    <tableColumn id="18" name="AGO" dataDxfId="11" totalsRowDxfId="10" dataCellStyle="Millares"/>
    <tableColumn id="19" name="SEP" dataDxfId="9" totalsRowDxfId="8" dataCellStyle="Millares"/>
    <tableColumn id="20" name="OCT" dataDxfId="7" totalsRowDxfId="6" dataCellStyle="Millares"/>
    <tableColumn id="21" name="NOV" dataDxfId="5" totalsRowDxfId="4" dataCellStyle="Millares"/>
    <tableColumn id="22" name="DIC" totalsRowLabel=" Total " dataDxfId="3" totalsRowDxfId="2" dataCellStyle="Millares"/>
    <tableColumn id="13" name="TOTAL" totalsRowFunction="sum" dataDxfId="1" totalsRowDxfId="0" dataCellStyle="Moneda">
      <calculatedColumnFormula>SUM(Tabla13[[#This Row],[ENE]:[DIC]])</calculatedColumnFormula>
    </tableColumn>
  </tableColumns>
  <tableStyleInfo name="TableStyleMedium4" showFirstColumn="0" showLastColumn="0" showRowStripes="1" showColumnStripes="0"/>
</table>
</file>

<file path=xl/tables/table3.xml><?xml version="1.0" encoding="utf-8"?>
<table xmlns="http://schemas.openxmlformats.org/spreadsheetml/2006/main" id="17" name="Tabla1456789101112131415161718" displayName="Tabla1456789101112131415161718" ref="A14:V19" totalsRowCount="1" headerRowDxfId="863" dataDxfId="862" totalsRowDxfId="861" totalsRowBorderDxfId="860">
  <autoFilter ref="A14:V18"/>
  <tableColumns count="22">
    <tableColumn id="1" name="ACTIVIDAD" dataDxfId="859" totalsRowDxfId="858"/>
    <tableColumn id="2" name="META" dataDxfId="857" totalsRowDxfId="856"/>
    <tableColumn id="3" name="EFICACIA" dataDxfId="855" totalsRowDxfId="854"/>
    <tableColumn id="25" name="PARTIDA" dataDxfId="853" totalsRowDxfId="852"/>
    <tableColumn id="4" name="CANT" dataDxfId="851" totalsRowDxfId="850"/>
    <tableColumn id="5" name="VARIABLE" dataDxfId="849" totalsRowDxfId="848"/>
    <tableColumn id="6" name="FEC. IND." dataDxfId="847" totalsRowDxfId="846"/>
    <tableColumn id="10" name="TG" dataDxfId="845" totalsRowDxfId="844"/>
    <tableColumn id="9" name="RECURSO" dataDxfId="843" totalsRowDxfId="842"/>
    <tableColumn id="8" name="ENE" dataDxfId="841" totalsRowDxfId="840" dataCellStyle="Millares"/>
    <tableColumn id="11" name="FEB" dataDxfId="839" totalsRowDxfId="838" dataCellStyle="Millares"/>
    <tableColumn id="12" name="MAR" dataDxfId="837" totalsRowDxfId="836" dataCellStyle="Millares"/>
    <tableColumn id="14" name="ABR" dataDxfId="835" totalsRowDxfId="834" dataCellStyle="Millares"/>
    <tableColumn id="15" name="MAY" dataDxfId="833" totalsRowDxfId="832" dataCellStyle="Millares"/>
    <tableColumn id="16" name="JUN" dataDxfId="831" totalsRowDxfId="830" dataCellStyle="Millares"/>
    <tableColumn id="17" name="JUL" dataDxfId="829" totalsRowDxfId="828" dataCellStyle="Millares"/>
    <tableColumn id="18" name="AGO" dataDxfId="827" totalsRowDxfId="826" dataCellStyle="Millares"/>
    <tableColumn id="19" name="SEP" dataDxfId="825" totalsRowDxfId="824" dataCellStyle="Millares"/>
    <tableColumn id="20" name="OCT" dataDxfId="823" totalsRowDxfId="822" dataCellStyle="Millares"/>
    <tableColumn id="21" name="NOV" dataDxfId="821" totalsRowDxfId="820" dataCellStyle="Millares"/>
    <tableColumn id="22" name="DIC" totalsRowLabel=" Total " dataDxfId="819" totalsRowDxfId="818" dataCellStyle="Millares"/>
    <tableColumn id="13" name="TOTAL" totalsRowFunction="sum" dataDxfId="817" totalsRowDxfId="816" dataCellStyle="Millares">
      <calculatedColumnFormula>SUM(Tabla1456789101112131415161718[[#This Row],[ENE]:[DIC]])</calculatedColumnFormula>
    </tableColumn>
  </tableColumns>
  <tableStyleInfo name="TableStyleMedium4" showFirstColumn="0" showLastColumn="0" showRowStripes="1" showColumnStripes="0"/>
</table>
</file>

<file path=xl/tables/table4.xml><?xml version="1.0" encoding="utf-8"?>
<table xmlns="http://schemas.openxmlformats.org/spreadsheetml/2006/main" id="19" name="Tabla14567891011121314151617181920" displayName="Tabla14567891011121314151617181920" ref="A14:V18" totalsRowCount="1" headerRowDxfId="815" dataDxfId="814" totalsRowDxfId="813" totalsRowBorderDxfId="812">
  <autoFilter ref="A14:V17"/>
  <tableColumns count="22">
    <tableColumn id="1" name="ACTIVIDAD" dataDxfId="811" totalsRowDxfId="810"/>
    <tableColumn id="2" name="META" dataDxfId="809" totalsRowDxfId="808"/>
    <tableColumn id="3" name="EFICACIA" dataDxfId="807" totalsRowDxfId="806"/>
    <tableColumn id="25" name="PARTIDA" dataDxfId="805" totalsRowDxfId="804"/>
    <tableColumn id="4" name="CANT" dataDxfId="803" totalsRowDxfId="802"/>
    <tableColumn id="5" name="VARIABLE" dataDxfId="801" totalsRowDxfId="800"/>
    <tableColumn id="6" name="FEC. IND." dataDxfId="799" totalsRowDxfId="798"/>
    <tableColumn id="10" name="TG" dataDxfId="797" totalsRowDxfId="796"/>
    <tableColumn id="9" name="RECURSO" dataDxfId="795" totalsRowDxfId="794"/>
    <tableColumn id="8" name="ENE" dataDxfId="793" totalsRowDxfId="792" dataCellStyle="Millares"/>
    <tableColumn id="11" name="FEB" dataDxfId="791" totalsRowDxfId="790" dataCellStyle="Millares"/>
    <tableColumn id="12" name="MAR" dataDxfId="789" totalsRowDxfId="788" dataCellStyle="Millares"/>
    <tableColumn id="14" name="ABR" dataDxfId="787" totalsRowDxfId="786" dataCellStyle="Millares"/>
    <tableColumn id="15" name="MAY" dataDxfId="785" totalsRowDxfId="784" dataCellStyle="Millares"/>
    <tableColumn id="16" name="JUN" dataDxfId="783" totalsRowDxfId="782" dataCellStyle="Millares"/>
    <tableColumn id="17" name="JUL" dataDxfId="781" totalsRowDxfId="780" dataCellStyle="Millares"/>
    <tableColumn id="18" name="AGO" dataDxfId="779" totalsRowDxfId="778" dataCellStyle="Millares"/>
    <tableColumn id="19" name="SEP" dataDxfId="777" totalsRowDxfId="776" dataCellStyle="Millares"/>
    <tableColumn id="20" name="OCT" dataDxfId="775" totalsRowDxfId="774" dataCellStyle="Millares"/>
    <tableColumn id="21" name="NOV" dataDxfId="773" totalsRowDxfId="772" dataCellStyle="Millares"/>
    <tableColumn id="22" name="DIC" totalsRowLabel=" Total " dataDxfId="771" totalsRowDxfId="770" dataCellStyle="Millares"/>
    <tableColumn id="13" name="TOTAL" totalsRowFunction="sum" dataDxfId="769" totalsRowDxfId="768" dataCellStyle="Millares">
      <calculatedColumnFormula>SUM(Tabla14567891011121314151617181920[[#This Row],[ENE]:[DIC]])</calculatedColumnFormula>
    </tableColumn>
  </tableColumns>
  <tableStyleInfo name="TableStyleMedium4" showFirstColumn="0" showLastColumn="0" showRowStripes="1" showColumnStripes="0"/>
</table>
</file>

<file path=xl/tables/table5.xml><?xml version="1.0" encoding="utf-8"?>
<table xmlns="http://schemas.openxmlformats.org/spreadsheetml/2006/main" id="1" name="Tabla1" displayName="Tabla1" ref="A14:V22" totalsRowCount="1" headerRowDxfId="767" dataDxfId="766" totalsRowDxfId="765" totalsRowBorderDxfId="764">
  <autoFilter ref="A14:V21"/>
  <tableColumns count="22">
    <tableColumn id="1" name="ACTIVIDAD" dataDxfId="763" totalsRowDxfId="762"/>
    <tableColumn id="2" name="META" dataDxfId="761" totalsRowDxfId="760"/>
    <tableColumn id="3" name="EFICACIA" dataDxfId="759" totalsRowDxfId="758"/>
    <tableColumn id="25" name="PARTIDA" dataDxfId="757" totalsRowDxfId="756"/>
    <tableColumn id="4" name="CANT" dataDxfId="755" totalsRowDxfId="754"/>
    <tableColumn id="5" name="VARIABLE" dataDxfId="753" totalsRowDxfId="752"/>
    <tableColumn id="6" name="FEC. IND." dataDxfId="751" totalsRowDxfId="750"/>
    <tableColumn id="10" name="TG" dataDxfId="749" totalsRowDxfId="748"/>
    <tableColumn id="9" name="RECURSO" dataDxfId="747" totalsRowDxfId="746"/>
    <tableColumn id="8" name="ENE" dataDxfId="745" totalsRowDxfId="744" dataCellStyle="Millares">
      <calculatedColumnFormula>14000/12</calculatedColumnFormula>
    </tableColumn>
    <tableColumn id="11" name="FEB" dataDxfId="743" totalsRowDxfId="742" dataCellStyle="Millares"/>
    <tableColumn id="12" name="MAR" dataDxfId="741" totalsRowDxfId="740" dataCellStyle="Millares"/>
    <tableColumn id="14" name="ABR" dataDxfId="739" totalsRowDxfId="738" dataCellStyle="Millares"/>
    <tableColumn id="15" name="MAY" dataDxfId="737" totalsRowDxfId="736" dataCellStyle="Millares"/>
    <tableColumn id="16" name="JUN" dataDxfId="735" totalsRowDxfId="734" dataCellStyle="Millares"/>
    <tableColumn id="17" name="JUL" dataDxfId="733" totalsRowDxfId="732" dataCellStyle="Millares"/>
    <tableColumn id="18" name="AGO" dataDxfId="731" totalsRowDxfId="730" dataCellStyle="Millares"/>
    <tableColumn id="19" name="SEP" dataDxfId="729" totalsRowDxfId="728" dataCellStyle="Millares"/>
    <tableColumn id="20" name="OCT" dataDxfId="727" totalsRowDxfId="726" dataCellStyle="Millares"/>
    <tableColumn id="21" name="NOV" dataDxfId="725" totalsRowDxfId="724" dataCellStyle="Millares"/>
    <tableColumn id="22" name="DIC" totalsRowLabel=" Total " dataDxfId="723" totalsRowDxfId="722" dataCellStyle="Millares"/>
    <tableColumn id="13" name="TOTAL" totalsRowFunction="sum" dataDxfId="721" totalsRowDxfId="720" dataCellStyle="Millares">
      <calculatedColumnFormula>SUM(Tabla1[[#This Row],[ENE]:[DIC]])</calculatedColumnFormula>
    </tableColumn>
  </tableColumns>
  <tableStyleInfo name="TableStyleMedium4" showFirstColumn="0" showLastColumn="0" showRowStripes="1" showColumnStripes="0"/>
</table>
</file>

<file path=xl/tables/table6.xml><?xml version="1.0" encoding="utf-8"?>
<table xmlns="http://schemas.openxmlformats.org/spreadsheetml/2006/main" id="18" name="Tabla145678910111213141516171819" displayName="Tabla145678910111213141516171819" ref="A14:V16" totalsRowCount="1" headerRowDxfId="719" dataDxfId="718" totalsRowDxfId="717" totalsRowBorderDxfId="716">
  <autoFilter ref="A14:V15"/>
  <tableColumns count="22">
    <tableColumn id="1" name="ACTIVIDAD" dataDxfId="715" totalsRowDxfId="714"/>
    <tableColumn id="2" name="META" dataDxfId="713" totalsRowDxfId="712"/>
    <tableColumn id="3" name="EFICACIA" dataDxfId="711" totalsRowDxfId="710"/>
    <tableColumn id="25" name="PARTIDA" dataDxfId="709" totalsRowDxfId="708"/>
    <tableColumn id="4" name="CANT" dataDxfId="707" totalsRowDxfId="706"/>
    <tableColumn id="5" name="VARIABLE" dataDxfId="705" totalsRowDxfId="704"/>
    <tableColumn id="6" name="FEC. IND." dataDxfId="703" totalsRowDxfId="702"/>
    <tableColumn id="10" name="TG" dataDxfId="701" totalsRowDxfId="700"/>
    <tableColumn id="9" name="RECURSO" dataDxfId="699" totalsRowDxfId="698"/>
    <tableColumn id="8" name="ENE" dataDxfId="697" totalsRowDxfId="696" dataCellStyle="Millares"/>
    <tableColumn id="11" name="FEB" dataDxfId="695" totalsRowDxfId="694" dataCellStyle="Millares"/>
    <tableColumn id="12" name="MAR" dataDxfId="693" totalsRowDxfId="692" dataCellStyle="Millares"/>
    <tableColumn id="14" name="ABR" dataDxfId="691" totalsRowDxfId="690" dataCellStyle="Millares"/>
    <tableColumn id="15" name="MAY" dataDxfId="689" totalsRowDxfId="688" dataCellStyle="Millares"/>
    <tableColumn id="16" name="JUN" dataDxfId="687" totalsRowDxfId="686" dataCellStyle="Millares"/>
    <tableColumn id="17" name="JUL" dataDxfId="685" totalsRowDxfId="684" dataCellStyle="Millares"/>
    <tableColumn id="18" name="AGO" dataDxfId="683" totalsRowDxfId="682" dataCellStyle="Millares"/>
    <tableColumn id="19" name="SEP" dataDxfId="681" totalsRowDxfId="680" dataCellStyle="Millares"/>
    <tableColumn id="20" name="OCT" dataDxfId="679" totalsRowDxfId="678" dataCellStyle="Millares"/>
    <tableColumn id="21" name="NOV" dataDxfId="677" totalsRowDxfId="676" dataCellStyle="Millares"/>
    <tableColumn id="22" name="DIC" totalsRowLabel=" Total " dataDxfId="675" totalsRowDxfId="674" dataCellStyle="Millares"/>
    <tableColumn id="13" name="TOTAL" totalsRowFunction="sum" dataDxfId="673" totalsRowDxfId="672" dataCellStyle="Millares">
      <calculatedColumnFormula>SUM(Tabla145678910111213141516171819[[#This Row],[ENE]:[DIC]])</calculatedColumnFormula>
    </tableColumn>
  </tableColumns>
  <tableStyleInfo name="TableStyleMedium4" showFirstColumn="0" showLastColumn="0" showRowStripes="1" showColumnStripes="0"/>
</table>
</file>

<file path=xl/tables/table7.xml><?xml version="1.0" encoding="utf-8"?>
<table xmlns="http://schemas.openxmlformats.org/spreadsheetml/2006/main" id="5" name="Tabla1456" displayName="Tabla1456" ref="A14:V18" totalsRowCount="1" headerRowDxfId="671" dataDxfId="670" totalsRowDxfId="669" totalsRowBorderDxfId="668">
  <autoFilter ref="A14:V17"/>
  <tableColumns count="22">
    <tableColumn id="1" name="ACTIVIDAD" dataDxfId="667" totalsRowDxfId="666"/>
    <tableColumn id="2" name="META" dataDxfId="665" totalsRowDxfId="664"/>
    <tableColumn id="3" name="EFICACIA" dataDxfId="663" totalsRowDxfId="662"/>
    <tableColumn id="25" name="PARTIDA" dataDxfId="661" totalsRowDxfId="660"/>
    <tableColumn id="4" name="CANT" dataDxfId="659" totalsRowDxfId="658"/>
    <tableColumn id="5" name="VARIABLE" dataDxfId="657" totalsRowDxfId="656"/>
    <tableColumn id="6" name="FEC. IND." dataDxfId="655" totalsRowDxfId="654"/>
    <tableColumn id="10" name="TG" dataDxfId="653" totalsRowDxfId="652"/>
    <tableColumn id="9" name="RECURSO" dataDxfId="651" totalsRowDxfId="650"/>
    <tableColumn id="8" name="ENE" dataDxfId="649" totalsRowDxfId="648" dataCellStyle="Millares"/>
    <tableColumn id="11" name="FEB" dataDxfId="647" totalsRowDxfId="646" dataCellStyle="Millares"/>
    <tableColumn id="12" name="MAR" dataDxfId="645" totalsRowDxfId="644" dataCellStyle="Millares"/>
    <tableColumn id="14" name="ABR" dataDxfId="643" totalsRowDxfId="642" dataCellStyle="Millares"/>
    <tableColumn id="15" name="MAY" dataDxfId="641" totalsRowDxfId="640" dataCellStyle="Millares"/>
    <tableColumn id="16" name="JUN" dataDxfId="639" totalsRowDxfId="638" dataCellStyle="Millares"/>
    <tableColumn id="17" name="JUL" dataDxfId="637" totalsRowDxfId="636" dataCellStyle="Millares"/>
    <tableColumn id="18" name="AGO" dataDxfId="635" totalsRowDxfId="634" dataCellStyle="Millares"/>
    <tableColumn id="19" name="SEP" dataDxfId="633" totalsRowDxfId="632" dataCellStyle="Millares"/>
    <tableColumn id="20" name="OCT" dataDxfId="631" totalsRowDxfId="630" dataCellStyle="Millares"/>
    <tableColumn id="21" name="NOV" dataDxfId="629" totalsRowDxfId="628" dataCellStyle="Millares"/>
    <tableColumn id="22" name="DIC" totalsRowLabel=" Total " dataDxfId="627" totalsRowDxfId="626" dataCellStyle="Millares"/>
    <tableColumn id="13" name="TOTAL" totalsRowFunction="sum" dataDxfId="625" totalsRowDxfId="624" dataCellStyle="Millares">
      <calculatedColumnFormula>SUM(Tabla1456[[#This Row],[ENE]:[DIC]])</calculatedColumnFormula>
    </tableColumn>
  </tableColumns>
  <tableStyleInfo name="TableStyleMedium4" showFirstColumn="0" showLastColumn="0" showRowStripes="1" showColumnStripes="0"/>
</table>
</file>

<file path=xl/tables/table8.xml><?xml version="1.0" encoding="utf-8"?>
<table xmlns="http://schemas.openxmlformats.org/spreadsheetml/2006/main" id="9" name="Tabla145678910" displayName="Tabla145678910" ref="A14:V17" totalsRowCount="1" headerRowDxfId="623" dataDxfId="622" totalsRowDxfId="621" totalsRowBorderDxfId="620">
  <autoFilter ref="A14:V16"/>
  <tableColumns count="22">
    <tableColumn id="1" name="ACTIVIDAD" dataDxfId="619" totalsRowDxfId="618"/>
    <tableColumn id="2" name="META" dataDxfId="617" totalsRowDxfId="616"/>
    <tableColumn id="3" name="EFICACIA" dataDxfId="615" totalsRowDxfId="614"/>
    <tableColumn id="25" name="PARTIDA" dataDxfId="613" totalsRowDxfId="612"/>
    <tableColumn id="4" name="CANT" dataDxfId="611" totalsRowDxfId="610"/>
    <tableColumn id="5" name="VARIABLE" dataDxfId="609" totalsRowDxfId="608"/>
    <tableColumn id="6" name="FEC. IND." dataDxfId="607" totalsRowDxfId="606"/>
    <tableColumn id="10" name="TG" dataDxfId="605" totalsRowDxfId="604"/>
    <tableColumn id="9" name="RECURSO" dataDxfId="603" totalsRowDxfId="602"/>
    <tableColumn id="8" name="ENE" dataDxfId="601" totalsRowDxfId="600" dataCellStyle="Millares"/>
    <tableColumn id="11" name="FEB" dataDxfId="599" totalsRowDxfId="598" dataCellStyle="Millares"/>
    <tableColumn id="12" name="MAR" dataDxfId="597" totalsRowDxfId="596" dataCellStyle="Millares"/>
    <tableColumn id="14" name="ABR" dataDxfId="595" totalsRowDxfId="594" dataCellStyle="Millares"/>
    <tableColumn id="15" name="MAY" dataDxfId="593" totalsRowDxfId="592" dataCellStyle="Millares"/>
    <tableColumn id="16" name="JUN" dataDxfId="591" totalsRowDxfId="590" dataCellStyle="Millares"/>
    <tableColumn id="17" name="JUL" dataDxfId="589" totalsRowDxfId="588" dataCellStyle="Millares"/>
    <tableColumn id="18" name="AGO" dataDxfId="587" totalsRowDxfId="586" dataCellStyle="Millares"/>
    <tableColumn id="19" name="SEP" dataDxfId="585" totalsRowDxfId="584" dataCellStyle="Millares"/>
    <tableColumn id="20" name="OCT" dataDxfId="583" totalsRowDxfId="582" dataCellStyle="Millares"/>
    <tableColumn id="21" name="NOV" dataDxfId="581" totalsRowDxfId="580" dataCellStyle="Millares"/>
    <tableColumn id="22" name="DIC" totalsRowLabel=" Total " dataDxfId="579" totalsRowDxfId="578" dataCellStyle="Millares"/>
    <tableColumn id="13" name="TOTAL" totalsRowFunction="sum" dataDxfId="577" totalsRowDxfId="576" dataCellStyle="Millares">
      <calculatedColumnFormula>SUM(Tabla145678910[[#This Row],[ENE]:[DIC]])</calculatedColumnFormula>
    </tableColumn>
  </tableColumns>
  <tableStyleInfo name="TableStyleMedium4" showFirstColumn="0" showLastColumn="0" showRowStripes="1" showColumnStripes="0"/>
</table>
</file>

<file path=xl/tables/table9.xml><?xml version="1.0" encoding="utf-8"?>
<table xmlns="http://schemas.openxmlformats.org/spreadsheetml/2006/main" id="14" name="Tabla1456789101112131415" displayName="Tabla1456789101112131415" ref="A14:V17" totalsRowCount="1" headerRowDxfId="575" dataDxfId="574" totalsRowDxfId="573" totalsRowBorderDxfId="572">
  <autoFilter ref="A14:V16"/>
  <tableColumns count="22">
    <tableColumn id="1" name="ACTIVIDAD" dataDxfId="571" totalsRowDxfId="570"/>
    <tableColumn id="2" name="META" dataDxfId="569" totalsRowDxfId="568"/>
    <tableColumn id="3" name="EFICACIA" dataDxfId="567" totalsRowDxfId="566"/>
    <tableColumn id="25" name="PARTIDA" dataDxfId="565" totalsRowDxfId="564"/>
    <tableColumn id="4" name="CANT" dataDxfId="563" totalsRowDxfId="562"/>
    <tableColumn id="5" name="VARIABLE" dataDxfId="561" totalsRowDxfId="560"/>
    <tableColumn id="6" name="FEC. IND." dataDxfId="559" totalsRowDxfId="558"/>
    <tableColumn id="10" name="TG" dataDxfId="557" totalsRowDxfId="556"/>
    <tableColumn id="9" name="RECURSO" dataDxfId="555" totalsRowDxfId="554"/>
    <tableColumn id="8" name="ENE" dataDxfId="553" totalsRowDxfId="552" dataCellStyle="Millares"/>
    <tableColumn id="11" name="FEB" dataDxfId="551" totalsRowDxfId="550" dataCellStyle="Millares"/>
    <tableColumn id="12" name="MAR" dataDxfId="549" totalsRowDxfId="548" dataCellStyle="Millares"/>
    <tableColumn id="14" name="ABR" dataDxfId="547" totalsRowDxfId="546" dataCellStyle="Millares"/>
    <tableColumn id="15" name="MAY" dataDxfId="545" totalsRowDxfId="544" dataCellStyle="Millares"/>
    <tableColumn id="16" name="JUN" dataDxfId="543" totalsRowDxfId="542" dataCellStyle="Millares"/>
    <tableColumn id="17" name="JUL" dataDxfId="541" totalsRowDxfId="540" dataCellStyle="Millares"/>
    <tableColumn id="18" name="AGO" dataDxfId="539" totalsRowDxfId="538" dataCellStyle="Millares"/>
    <tableColumn id="19" name="SEP" dataDxfId="537" totalsRowDxfId="536" dataCellStyle="Millares"/>
    <tableColumn id="20" name="OCT" dataDxfId="535" totalsRowDxfId="534" dataCellStyle="Millares"/>
    <tableColumn id="21" name="NOV" dataDxfId="533" totalsRowDxfId="532" dataCellStyle="Millares"/>
    <tableColumn id="22" name="DIC" totalsRowLabel=" Total " dataDxfId="531" totalsRowDxfId="530" dataCellStyle="Millares"/>
    <tableColumn id="13" name="TOTAL" totalsRowFunction="sum" dataDxfId="529" totalsRowDxfId="528" dataCellStyle="Millares">
      <calculatedColumnFormula>SUM(Tabla1456789101112131415[[#This Row],[ENE]:[DIC]])</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1.v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3.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14.v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278"/>
  <sheetViews>
    <sheetView topLeftCell="B1" workbookViewId="0">
      <selection activeCell="F1" sqref="A1:F1048576"/>
    </sheetView>
  </sheetViews>
  <sheetFormatPr baseColWidth="10" defaultRowHeight="15" x14ac:dyDescent="0.25"/>
  <sheetData>
    <row r="1" spans="1:10" x14ac:dyDescent="0.25">
      <c r="A1" s="1" t="s">
        <v>1</v>
      </c>
      <c r="B1" s="1" t="s">
        <v>0</v>
      </c>
      <c r="C1" s="1" t="s">
        <v>11</v>
      </c>
      <c r="D1" s="1" t="s">
        <v>12</v>
      </c>
      <c r="E1" s="1" t="s">
        <v>2</v>
      </c>
      <c r="F1" s="1" t="s">
        <v>13</v>
      </c>
      <c r="H1" s="3" t="s">
        <v>864</v>
      </c>
      <c r="J1" s="5" t="s">
        <v>866</v>
      </c>
    </row>
    <row r="2" spans="1:10" ht="210" x14ac:dyDescent="0.25">
      <c r="A2" s="2" t="s">
        <v>664</v>
      </c>
      <c r="B2" s="2" t="s">
        <v>409</v>
      </c>
      <c r="C2" s="2" t="s">
        <v>683</v>
      </c>
      <c r="D2" s="2" t="s">
        <v>409</v>
      </c>
      <c r="E2" s="2" t="s">
        <v>664</v>
      </c>
      <c r="F2" s="2" t="s">
        <v>667</v>
      </c>
      <c r="H2" s="4" t="s">
        <v>865</v>
      </c>
      <c r="J2" s="6" t="s">
        <v>867</v>
      </c>
    </row>
    <row r="3" spans="1:10" ht="120" x14ac:dyDescent="0.25">
      <c r="A3" s="2" t="s">
        <v>512</v>
      </c>
      <c r="B3" s="2" t="s">
        <v>517</v>
      </c>
      <c r="C3" s="2" t="s">
        <v>518</v>
      </c>
      <c r="D3" s="2" t="s">
        <v>519</v>
      </c>
      <c r="E3" s="2" t="s">
        <v>515</v>
      </c>
      <c r="F3" s="2" t="s">
        <v>516</v>
      </c>
      <c r="J3" s="6" t="s">
        <v>868</v>
      </c>
    </row>
    <row r="4" spans="1:10" ht="150" x14ac:dyDescent="0.25">
      <c r="A4" s="2" t="s">
        <v>611</v>
      </c>
      <c r="B4" s="2" t="s">
        <v>640</v>
      </c>
      <c r="C4" s="2" t="s">
        <v>641</v>
      </c>
      <c r="D4" s="2" t="s">
        <v>642</v>
      </c>
      <c r="E4" s="2" t="s">
        <v>615</v>
      </c>
      <c r="F4" s="2" t="s">
        <v>616</v>
      </c>
      <c r="J4" s="6" t="s">
        <v>869</v>
      </c>
    </row>
    <row r="5" spans="1:10" ht="195" x14ac:dyDescent="0.25">
      <c r="A5" s="2" t="s">
        <v>583</v>
      </c>
      <c r="B5" s="2" t="s">
        <v>588</v>
      </c>
      <c r="C5" s="2" t="s">
        <v>589</v>
      </c>
      <c r="D5" s="2" t="s">
        <v>590</v>
      </c>
      <c r="E5" s="2" t="s">
        <v>586</v>
      </c>
      <c r="F5" s="2" t="s">
        <v>587</v>
      </c>
      <c r="J5" s="6" t="s">
        <v>870</v>
      </c>
    </row>
    <row r="6" spans="1:10" ht="210" x14ac:dyDescent="0.25">
      <c r="A6" s="2" t="s">
        <v>196</v>
      </c>
      <c r="B6" s="2" t="s">
        <v>226</v>
      </c>
      <c r="C6" s="2" t="s">
        <v>227</v>
      </c>
      <c r="D6" s="2" t="s">
        <v>228</v>
      </c>
      <c r="E6" s="2" t="s">
        <v>200</v>
      </c>
      <c r="F6" s="2" t="s">
        <v>201</v>
      </c>
      <c r="J6" s="6" t="s">
        <v>871</v>
      </c>
    </row>
    <row r="7" spans="1:10" ht="165" x14ac:dyDescent="0.25">
      <c r="A7" s="2" t="s">
        <v>546</v>
      </c>
      <c r="B7" s="2" t="s">
        <v>554</v>
      </c>
      <c r="C7" s="2" t="s">
        <v>548</v>
      </c>
      <c r="D7" s="2" t="s">
        <v>549</v>
      </c>
      <c r="E7" s="2" t="s">
        <v>550</v>
      </c>
      <c r="F7" s="2" t="s">
        <v>551</v>
      </c>
      <c r="J7" s="6" t="s">
        <v>872</v>
      </c>
    </row>
    <row r="8" spans="1:10" ht="165" x14ac:dyDescent="0.25">
      <c r="A8" s="2" t="s">
        <v>546</v>
      </c>
      <c r="B8" s="2" t="s">
        <v>547</v>
      </c>
      <c r="C8" s="2" t="s">
        <v>548</v>
      </c>
      <c r="D8" s="2" t="s">
        <v>549</v>
      </c>
      <c r="E8" s="2" t="s">
        <v>550</v>
      </c>
      <c r="F8" s="2" t="s">
        <v>551</v>
      </c>
      <c r="J8" s="6" t="s">
        <v>873</v>
      </c>
    </row>
    <row r="9" spans="1:10" ht="165" x14ac:dyDescent="0.25">
      <c r="A9" s="2" t="s">
        <v>546</v>
      </c>
      <c r="B9" s="2" t="s">
        <v>553</v>
      </c>
      <c r="C9" s="2" t="s">
        <v>548</v>
      </c>
      <c r="D9" s="2" t="s">
        <v>549</v>
      </c>
      <c r="E9" s="2" t="s">
        <v>550</v>
      </c>
      <c r="F9" s="2" t="s">
        <v>551</v>
      </c>
      <c r="J9" s="6" t="s">
        <v>874</v>
      </c>
    </row>
    <row r="10" spans="1:10" ht="165" x14ac:dyDescent="0.25">
      <c r="A10" s="2" t="s">
        <v>546</v>
      </c>
      <c r="B10" s="2" t="s">
        <v>552</v>
      </c>
      <c r="C10" s="2" t="s">
        <v>548</v>
      </c>
      <c r="D10" s="2" t="s">
        <v>549</v>
      </c>
      <c r="E10" s="2" t="s">
        <v>550</v>
      </c>
      <c r="F10" s="2" t="s">
        <v>551</v>
      </c>
      <c r="J10" s="6" t="s">
        <v>875</v>
      </c>
    </row>
    <row r="11" spans="1:10" ht="165" x14ac:dyDescent="0.25">
      <c r="A11" s="2" t="s">
        <v>546</v>
      </c>
      <c r="B11" s="2" t="s">
        <v>555</v>
      </c>
      <c r="C11" s="2" t="s">
        <v>548</v>
      </c>
      <c r="D11" s="2" t="s">
        <v>549</v>
      </c>
      <c r="E11" s="2" t="s">
        <v>550</v>
      </c>
      <c r="F11" s="2" t="s">
        <v>551</v>
      </c>
      <c r="J11" s="6" t="s">
        <v>876</v>
      </c>
    </row>
    <row r="12" spans="1:10" ht="165" x14ac:dyDescent="0.25">
      <c r="A12" s="2" t="s">
        <v>546</v>
      </c>
      <c r="B12" s="2" t="s">
        <v>556</v>
      </c>
      <c r="C12" s="2" t="s">
        <v>548</v>
      </c>
      <c r="D12" s="2" t="s">
        <v>549</v>
      </c>
      <c r="E12" s="2" t="s">
        <v>550</v>
      </c>
      <c r="F12" s="2" t="s">
        <v>551</v>
      </c>
      <c r="J12" s="6" t="s">
        <v>877</v>
      </c>
    </row>
    <row r="13" spans="1:10" ht="150" x14ac:dyDescent="0.25">
      <c r="A13" s="2" t="s">
        <v>741</v>
      </c>
      <c r="B13" s="2" t="s">
        <v>752</v>
      </c>
      <c r="C13" s="2" t="s">
        <v>753</v>
      </c>
      <c r="D13" s="2" t="s">
        <v>754</v>
      </c>
      <c r="E13" s="2" t="s">
        <v>744</v>
      </c>
      <c r="F13" s="2" t="s">
        <v>745</v>
      </c>
      <c r="J13" s="6" t="s">
        <v>878</v>
      </c>
    </row>
    <row r="14" spans="1:10" ht="240" x14ac:dyDescent="0.25">
      <c r="A14" s="2" t="s">
        <v>229</v>
      </c>
      <c r="B14" s="2" t="s">
        <v>240</v>
      </c>
      <c r="C14" s="2" t="s">
        <v>241</v>
      </c>
      <c r="D14" s="2" t="s">
        <v>237</v>
      </c>
      <c r="E14" s="2" t="s">
        <v>233</v>
      </c>
      <c r="F14" s="2" t="s">
        <v>234</v>
      </c>
      <c r="J14" s="6" t="s">
        <v>879</v>
      </c>
    </row>
    <row r="15" spans="1:10" ht="165" x14ac:dyDescent="0.25">
      <c r="A15" s="2" t="s">
        <v>154</v>
      </c>
      <c r="B15" s="2" t="s">
        <v>155</v>
      </c>
      <c r="C15" s="2" t="s">
        <v>156</v>
      </c>
      <c r="D15" s="2" t="s">
        <v>157</v>
      </c>
      <c r="E15" s="2" t="s">
        <v>158</v>
      </c>
      <c r="F15" s="2" t="s">
        <v>159</v>
      </c>
      <c r="J15" s="6" t="s">
        <v>880</v>
      </c>
    </row>
    <row r="16" spans="1:10" ht="150" x14ac:dyDescent="0.25">
      <c r="A16" s="2" t="s">
        <v>512</v>
      </c>
      <c r="B16" s="2" t="s">
        <v>513</v>
      </c>
      <c r="C16" s="2" t="s">
        <v>514</v>
      </c>
      <c r="D16" s="2" t="s">
        <v>328</v>
      </c>
      <c r="E16" s="2" t="s">
        <v>515</v>
      </c>
      <c r="F16" s="2" t="s">
        <v>516</v>
      </c>
      <c r="J16" s="6" t="s">
        <v>881</v>
      </c>
    </row>
    <row r="17" spans="1:10" ht="240" x14ac:dyDescent="0.25">
      <c r="A17" s="2" t="s">
        <v>229</v>
      </c>
      <c r="B17" s="2" t="s">
        <v>235</v>
      </c>
      <c r="C17" s="2" t="s">
        <v>236</v>
      </c>
      <c r="D17" s="2" t="s">
        <v>237</v>
      </c>
      <c r="E17" s="2" t="s">
        <v>233</v>
      </c>
      <c r="F17" s="2" t="s">
        <v>234</v>
      </c>
      <c r="J17" s="6" t="s">
        <v>882</v>
      </c>
    </row>
    <row r="18" spans="1:10" ht="195" x14ac:dyDescent="0.25">
      <c r="A18" s="2" t="s">
        <v>583</v>
      </c>
      <c r="B18" s="2" t="s">
        <v>593</v>
      </c>
      <c r="C18" s="2" t="s">
        <v>111</v>
      </c>
      <c r="D18" s="2" t="s">
        <v>585</v>
      </c>
      <c r="E18" s="2" t="s">
        <v>586</v>
      </c>
      <c r="F18" s="2" t="s">
        <v>587</v>
      </c>
      <c r="J18" s="6" t="s">
        <v>883</v>
      </c>
    </row>
    <row r="19" spans="1:10" ht="165" x14ac:dyDescent="0.25">
      <c r="A19" s="2" t="s">
        <v>38</v>
      </c>
      <c r="B19" s="2" t="s">
        <v>44</v>
      </c>
      <c r="C19" s="2" t="s">
        <v>45</v>
      </c>
      <c r="D19" s="2" t="s">
        <v>46</v>
      </c>
      <c r="E19" s="2" t="s">
        <v>42</v>
      </c>
      <c r="F19" s="2" t="s">
        <v>43</v>
      </c>
      <c r="J19" s="6" t="s">
        <v>884</v>
      </c>
    </row>
    <row r="20" spans="1:10" ht="180" x14ac:dyDescent="0.25">
      <c r="A20" s="2" t="s">
        <v>562</v>
      </c>
      <c r="B20" s="2" t="s">
        <v>566</v>
      </c>
      <c r="C20" s="2" t="s">
        <v>564</v>
      </c>
      <c r="D20" s="2" t="s">
        <v>565</v>
      </c>
      <c r="E20" s="2" t="s">
        <v>550</v>
      </c>
      <c r="F20" s="2" t="s">
        <v>562</v>
      </c>
      <c r="J20" s="6" t="s">
        <v>885</v>
      </c>
    </row>
    <row r="21" spans="1:10" ht="180" x14ac:dyDescent="0.25">
      <c r="A21" s="2" t="s">
        <v>562</v>
      </c>
      <c r="B21" s="2" t="s">
        <v>567</v>
      </c>
      <c r="C21" s="2" t="s">
        <v>564</v>
      </c>
      <c r="D21" s="2" t="s">
        <v>565</v>
      </c>
      <c r="E21" s="2" t="s">
        <v>550</v>
      </c>
      <c r="F21" s="2" t="s">
        <v>562</v>
      </c>
      <c r="J21" s="6" t="s">
        <v>886</v>
      </c>
    </row>
    <row r="22" spans="1:10" ht="180" x14ac:dyDescent="0.25">
      <c r="A22" s="2" t="s">
        <v>562</v>
      </c>
      <c r="B22" s="2" t="s">
        <v>569</v>
      </c>
      <c r="C22" s="2" t="s">
        <v>564</v>
      </c>
      <c r="D22" s="2" t="s">
        <v>565</v>
      </c>
      <c r="E22" s="2" t="s">
        <v>550</v>
      </c>
      <c r="F22" s="2" t="s">
        <v>562</v>
      </c>
      <c r="J22" s="6" t="s">
        <v>887</v>
      </c>
    </row>
    <row r="23" spans="1:10" ht="180" x14ac:dyDescent="0.25">
      <c r="A23" s="2" t="s">
        <v>562</v>
      </c>
      <c r="B23" s="2" t="s">
        <v>570</v>
      </c>
      <c r="C23" s="2" t="s">
        <v>564</v>
      </c>
      <c r="D23" s="2" t="s">
        <v>565</v>
      </c>
      <c r="E23" s="2" t="s">
        <v>550</v>
      </c>
      <c r="F23" s="2" t="s">
        <v>562</v>
      </c>
      <c r="J23" s="6" t="s">
        <v>888</v>
      </c>
    </row>
    <row r="24" spans="1:10" ht="180" x14ac:dyDescent="0.25">
      <c r="A24" s="2" t="s">
        <v>562</v>
      </c>
      <c r="B24" s="2" t="s">
        <v>568</v>
      </c>
      <c r="C24" s="2" t="s">
        <v>564</v>
      </c>
      <c r="D24" s="2" t="s">
        <v>565</v>
      </c>
      <c r="E24" s="2" t="s">
        <v>550</v>
      </c>
      <c r="F24" s="2" t="s">
        <v>562</v>
      </c>
      <c r="J24" s="6" t="s">
        <v>889</v>
      </c>
    </row>
    <row r="25" spans="1:10" ht="180" x14ac:dyDescent="0.25">
      <c r="A25" s="2" t="s">
        <v>562</v>
      </c>
      <c r="B25" s="2" t="s">
        <v>563</v>
      </c>
      <c r="C25" s="2" t="s">
        <v>564</v>
      </c>
      <c r="D25" s="2" t="s">
        <v>565</v>
      </c>
      <c r="E25" s="2" t="s">
        <v>550</v>
      </c>
      <c r="F25" s="2" t="s">
        <v>562</v>
      </c>
      <c r="J25" s="6" t="s">
        <v>890</v>
      </c>
    </row>
    <row r="26" spans="1:10" ht="180" x14ac:dyDescent="0.25">
      <c r="A26" s="2" t="s">
        <v>562</v>
      </c>
      <c r="B26" s="2" t="s">
        <v>572</v>
      </c>
      <c r="C26" s="2" t="s">
        <v>564</v>
      </c>
      <c r="D26" s="2" t="s">
        <v>565</v>
      </c>
      <c r="E26" s="2" t="s">
        <v>550</v>
      </c>
      <c r="F26" s="2" t="s">
        <v>562</v>
      </c>
      <c r="J26" s="6" t="s">
        <v>891</v>
      </c>
    </row>
    <row r="27" spans="1:10" ht="180" x14ac:dyDescent="0.25">
      <c r="A27" s="2" t="s">
        <v>562</v>
      </c>
      <c r="B27" s="2" t="s">
        <v>571</v>
      </c>
      <c r="C27" s="2" t="s">
        <v>564</v>
      </c>
      <c r="D27" s="2" t="s">
        <v>565</v>
      </c>
      <c r="E27" s="2" t="s">
        <v>550</v>
      </c>
      <c r="F27" s="2" t="s">
        <v>562</v>
      </c>
      <c r="J27" s="6" t="s">
        <v>892</v>
      </c>
    </row>
    <row r="28" spans="1:10" ht="180" x14ac:dyDescent="0.25">
      <c r="A28" s="2" t="s">
        <v>127</v>
      </c>
      <c r="B28" s="2" t="s">
        <v>139</v>
      </c>
      <c r="C28" s="2" t="s">
        <v>140</v>
      </c>
      <c r="D28" s="2" t="s">
        <v>141</v>
      </c>
      <c r="E28" s="2" t="s">
        <v>131</v>
      </c>
      <c r="F28" s="2" t="s">
        <v>132</v>
      </c>
      <c r="J28" s="6" t="s">
        <v>893</v>
      </c>
    </row>
    <row r="29" spans="1:10" ht="180" x14ac:dyDescent="0.25">
      <c r="A29" s="2" t="s">
        <v>860</v>
      </c>
      <c r="B29" s="2" t="s">
        <v>861</v>
      </c>
      <c r="C29" s="2" t="s">
        <v>862</v>
      </c>
      <c r="D29" s="2" t="s">
        <v>863</v>
      </c>
      <c r="E29" s="2" t="s">
        <v>861</v>
      </c>
      <c r="F29" s="2" t="s">
        <v>409</v>
      </c>
      <c r="J29" s="6" t="s">
        <v>894</v>
      </c>
    </row>
    <row r="30" spans="1:10" ht="180" x14ac:dyDescent="0.25">
      <c r="A30" s="2" t="s">
        <v>457</v>
      </c>
      <c r="B30" s="2" t="s">
        <v>458</v>
      </c>
      <c r="C30" s="2" t="s">
        <v>459</v>
      </c>
      <c r="D30" s="2" t="s">
        <v>328</v>
      </c>
      <c r="E30" s="2" t="s">
        <v>460</v>
      </c>
      <c r="F30" s="2" t="s">
        <v>458</v>
      </c>
      <c r="J30" s="6" t="s">
        <v>895</v>
      </c>
    </row>
    <row r="31" spans="1:10" ht="150" x14ac:dyDescent="0.25">
      <c r="A31" s="2" t="s">
        <v>804</v>
      </c>
      <c r="B31" s="2" t="s">
        <v>817</v>
      </c>
      <c r="C31" s="2" t="s">
        <v>818</v>
      </c>
      <c r="D31" s="2" t="s">
        <v>414</v>
      </c>
      <c r="E31" s="2" t="s">
        <v>807</v>
      </c>
      <c r="F31" s="2" t="s">
        <v>808</v>
      </c>
      <c r="J31" s="6" t="s">
        <v>896</v>
      </c>
    </row>
    <row r="32" spans="1:10" ht="240" x14ac:dyDescent="0.25">
      <c r="A32" s="2" t="s">
        <v>431</v>
      </c>
      <c r="B32" s="2" t="s">
        <v>432</v>
      </c>
      <c r="C32" s="2" t="s">
        <v>433</v>
      </c>
      <c r="D32" s="2" t="s">
        <v>434</v>
      </c>
      <c r="E32" s="2" t="s">
        <v>435</v>
      </c>
      <c r="F32" s="2" t="s">
        <v>436</v>
      </c>
      <c r="J32" s="6" t="s">
        <v>897</v>
      </c>
    </row>
    <row r="33" spans="1:10" ht="135" x14ac:dyDescent="0.25">
      <c r="A33" s="2" t="s">
        <v>383</v>
      </c>
      <c r="B33" s="2" t="s">
        <v>389</v>
      </c>
      <c r="C33" s="2" t="s">
        <v>390</v>
      </c>
      <c r="D33" s="2" t="s">
        <v>391</v>
      </c>
      <c r="E33" s="2" t="s">
        <v>387</v>
      </c>
      <c r="F33" s="2" t="s">
        <v>388</v>
      </c>
      <c r="J33" s="6" t="s">
        <v>898</v>
      </c>
    </row>
    <row r="34" spans="1:10" ht="210" x14ac:dyDescent="0.25">
      <c r="A34" s="2" t="s">
        <v>109</v>
      </c>
      <c r="B34" s="2" t="s">
        <v>115</v>
      </c>
      <c r="C34" s="2" t="s">
        <v>116</v>
      </c>
      <c r="D34" s="2" t="s">
        <v>117</v>
      </c>
      <c r="E34" s="2" t="s">
        <v>113</v>
      </c>
      <c r="F34" s="2" t="s">
        <v>114</v>
      </c>
      <c r="J34" s="6" t="s">
        <v>899</v>
      </c>
    </row>
    <row r="35" spans="1:10" ht="225" x14ac:dyDescent="0.25">
      <c r="A35" s="2" t="s">
        <v>127</v>
      </c>
      <c r="B35" s="2" t="s">
        <v>133</v>
      </c>
      <c r="C35" s="2" t="s">
        <v>134</v>
      </c>
      <c r="D35" s="2" t="s">
        <v>135</v>
      </c>
      <c r="E35" s="2" t="s">
        <v>131</v>
      </c>
      <c r="F35" s="2" t="s">
        <v>132</v>
      </c>
      <c r="J35" s="6" t="s">
        <v>900</v>
      </c>
    </row>
    <row r="36" spans="1:10" ht="210" x14ac:dyDescent="0.25">
      <c r="A36" s="2" t="s">
        <v>362</v>
      </c>
      <c r="B36" s="2" t="s">
        <v>368</v>
      </c>
      <c r="C36" s="2" t="s">
        <v>369</v>
      </c>
      <c r="D36" s="2" t="s">
        <v>370</v>
      </c>
      <c r="E36" s="2" t="s">
        <v>366</v>
      </c>
      <c r="F36" s="2" t="s">
        <v>367</v>
      </c>
      <c r="J36" s="6" t="s">
        <v>901</v>
      </c>
    </row>
    <row r="37" spans="1:10" ht="135" x14ac:dyDescent="0.25">
      <c r="A37" s="2" t="s">
        <v>279</v>
      </c>
      <c r="B37" s="2" t="s">
        <v>280</v>
      </c>
      <c r="C37" s="2" t="s">
        <v>281</v>
      </c>
      <c r="D37" s="2" t="s">
        <v>282</v>
      </c>
      <c r="E37" s="2" t="s">
        <v>283</v>
      </c>
      <c r="F37" s="2" t="s">
        <v>284</v>
      </c>
      <c r="J37" s="6" t="s">
        <v>902</v>
      </c>
    </row>
    <row r="38" spans="1:10" ht="240" x14ac:dyDescent="0.25">
      <c r="A38" s="2" t="s">
        <v>229</v>
      </c>
      <c r="B38" s="2" t="s">
        <v>238</v>
      </c>
      <c r="C38" s="2" t="s">
        <v>239</v>
      </c>
      <c r="D38" s="2" t="s">
        <v>237</v>
      </c>
      <c r="E38" s="2" t="s">
        <v>233</v>
      </c>
      <c r="F38" s="2" t="s">
        <v>234</v>
      </c>
      <c r="J38" s="6" t="s">
        <v>903</v>
      </c>
    </row>
    <row r="39" spans="1:10" ht="210" x14ac:dyDescent="0.25">
      <c r="A39" s="2" t="s">
        <v>80</v>
      </c>
      <c r="B39" s="2" t="s">
        <v>92</v>
      </c>
      <c r="C39" s="2" t="s">
        <v>93</v>
      </c>
      <c r="D39" s="2" t="s">
        <v>91</v>
      </c>
      <c r="E39" s="2" t="s">
        <v>84</v>
      </c>
      <c r="F39" s="2" t="s">
        <v>85</v>
      </c>
      <c r="J39" s="6" t="s">
        <v>904</v>
      </c>
    </row>
    <row r="40" spans="1:10" ht="210" x14ac:dyDescent="0.25">
      <c r="A40" s="2" t="s">
        <v>80</v>
      </c>
      <c r="B40" s="2" t="s">
        <v>86</v>
      </c>
      <c r="C40" s="2" t="s">
        <v>87</v>
      </c>
      <c r="D40" s="2" t="s">
        <v>88</v>
      </c>
      <c r="E40" s="2" t="s">
        <v>84</v>
      </c>
      <c r="F40" s="2" t="s">
        <v>85</v>
      </c>
      <c r="J40" s="6" t="s">
        <v>905</v>
      </c>
    </row>
    <row r="41" spans="1:10" ht="120" x14ac:dyDescent="0.25">
      <c r="A41" s="2" t="s">
        <v>499</v>
      </c>
      <c r="B41" s="2" t="s">
        <v>510</v>
      </c>
      <c r="C41" s="2" t="s">
        <v>511</v>
      </c>
      <c r="D41" s="2" t="s">
        <v>391</v>
      </c>
      <c r="E41" s="2" t="s">
        <v>502</v>
      </c>
      <c r="F41" s="2" t="s">
        <v>503</v>
      </c>
      <c r="J41" s="6" t="s">
        <v>906</v>
      </c>
    </row>
    <row r="42" spans="1:10" ht="150" x14ac:dyDescent="0.25">
      <c r="A42" s="2" t="s">
        <v>611</v>
      </c>
      <c r="B42" s="2" t="s">
        <v>647</v>
      </c>
      <c r="C42" s="2" t="s">
        <v>648</v>
      </c>
      <c r="D42" s="2" t="s">
        <v>649</v>
      </c>
      <c r="E42" s="2" t="s">
        <v>615</v>
      </c>
      <c r="F42" s="2" t="s">
        <v>616</v>
      </c>
      <c r="J42" s="6" t="s">
        <v>907</v>
      </c>
    </row>
    <row r="43" spans="1:10" ht="240" x14ac:dyDescent="0.25">
      <c r="A43" s="2" t="s">
        <v>229</v>
      </c>
      <c r="B43" s="2" t="s">
        <v>242</v>
      </c>
      <c r="C43" s="2" t="s">
        <v>243</v>
      </c>
      <c r="D43" s="2" t="s">
        <v>244</v>
      </c>
      <c r="E43" s="2" t="s">
        <v>233</v>
      </c>
      <c r="F43" s="2" t="s">
        <v>234</v>
      </c>
      <c r="J43" s="6" t="s">
        <v>908</v>
      </c>
    </row>
    <row r="44" spans="1:10" ht="195" x14ac:dyDescent="0.25">
      <c r="A44" s="2" t="s">
        <v>374</v>
      </c>
      <c r="B44" s="2" t="s">
        <v>380</v>
      </c>
      <c r="C44" s="2" t="s">
        <v>381</v>
      </c>
      <c r="D44" s="2" t="s">
        <v>382</v>
      </c>
      <c r="E44" s="2" t="s">
        <v>378</v>
      </c>
      <c r="F44" s="2" t="s">
        <v>379</v>
      </c>
      <c r="J44" s="6" t="s">
        <v>909</v>
      </c>
    </row>
    <row r="45" spans="1:10" ht="135" x14ac:dyDescent="0.25">
      <c r="A45" s="2" t="s">
        <v>142</v>
      </c>
      <c r="B45" s="2" t="s">
        <v>148</v>
      </c>
      <c r="C45" s="2" t="s">
        <v>149</v>
      </c>
      <c r="D45" s="2" t="s">
        <v>150</v>
      </c>
      <c r="E45" s="2" t="s">
        <v>146</v>
      </c>
      <c r="F45" s="2" t="s">
        <v>147</v>
      </c>
      <c r="J45" s="6" t="s">
        <v>910</v>
      </c>
    </row>
    <row r="46" spans="1:10" ht="225" x14ac:dyDescent="0.25">
      <c r="A46" s="2" t="s">
        <v>271</v>
      </c>
      <c r="B46" s="2" t="s">
        <v>272</v>
      </c>
      <c r="C46" s="2" t="s">
        <v>273</v>
      </c>
      <c r="D46" s="2" t="s">
        <v>274</v>
      </c>
      <c r="E46" s="2" t="s">
        <v>275</v>
      </c>
      <c r="F46" s="2" t="s">
        <v>276</v>
      </c>
      <c r="J46" s="6" t="s">
        <v>911</v>
      </c>
    </row>
    <row r="47" spans="1:10" ht="165" x14ac:dyDescent="0.25">
      <c r="A47" s="2" t="s">
        <v>154</v>
      </c>
      <c r="B47" s="2" t="s">
        <v>166</v>
      </c>
      <c r="C47" s="2" t="s">
        <v>167</v>
      </c>
      <c r="D47" s="2" t="s">
        <v>168</v>
      </c>
      <c r="E47" s="2" t="s">
        <v>158</v>
      </c>
      <c r="F47" s="2" t="s">
        <v>159</v>
      </c>
      <c r="J47" s="6" t="s">
        <v>912</v>
      </c>
    </row>
    <row r="48" spans="1:10" ht="210" x14ac:dyDescent="0.25">
      <c r="A48" s="2" t="s">
        <v>664</v>
      </c>
      <c r="B48" s="2" t="s">
        <v>680</v>
      </c>
      <c r="C48" s="2" t="s">
        <v>681</v>
      </c>
      <c r="D48" s="2" t="s">
        <v>682</v>
      </c>
      <c r="E48" s="2" t="s">
        <v>664</v>
      </c>
      <c r="F48" s="2" t="s">
        <v>667</v>
      </c>
      <c r="J48" s="6" t="s">
        <v>913</v>
      </c>
    </row>
    <row r="49" spans="1:10" ht="330" x14ac:dyDescent="0.25">
      <c r="A49" s="2" t="s">
        <v>127</v>
      </c>
      <c r="B49" s="2" t="s">
        <v>128</v>
      </c>
      <c r="C49" s="2" t="s">
        <v>129</v>
      </c>
      <c r="D49" s="2" t="s">
        <v>130</v>
      </c>
      <c r="E49" s="2" t="s">
        <v>131</v>
      </c>
      <c r="F49" s="2" t="s">
        <v>132</v>
      </c>
      <c r="J49" s="6" t="s">
        <v>914</v>
      </c>
    </row>
    <row r="50" spans="1:10" ht="165" x14ac:dyDescent="0.25">
      <c r="A50" s="2" t="s">
        <v>259</v>
      </c>
      <c r="B50" s="2" t="s">
        <v>268</v>
      </c>
      <c r="C50" s="2" t="s">
        <v>269</v>
      </c>
      <c r="D50" s="2" t="s">
        <v>270</v>
      </c>
      <c r="E50" s="2" t="s">
        <v>263</v>
      </c>
      <c r="F50" s="2" t="s">
        <v>264</v>
      </c>
      <c r="J50" s="6" t="s">
        <v>915</v>
      </c>
    </row>
    <row r="51" spans="1:10" ht="165" x14ac:dyDescent="0.25">
      <c r="A51" s="2" t="s">
        <v>154</v>
      </c>
      <c r="B51" s="2" t="s">
        <v>160</v>
      </c>
      <c r="C51" s="2" t="s">
        <v>161</v>
      </c>
      <c r="D51" s="2" t="s">
        <v>162</v>
      </c>
      <c r="E51" s="2" t="s">
        <v>158</v>
      </c>
      <c r="F51" s="2" t="s">
        <v>159</v>
      </c>
      <c r="J51" s="6" t="s">
        <v>916</v>
      </c>
    </row>
    <row r="52" spans="1:10" ht="210" x14ac:dyDescent="0.25">
      <c r="A52" s="2" t="s">
        <v>196</v>
      </c>
      <c r="B52" s="2" t="s">
        <v>211</v>
      </c>
      <c r="C52" s="2" t="s">
        <v>212</v>
      </c>
      <c r="D52" s="2" t="s">
        <v>213</v>
      </c>
      <c r="E52" s="2" t="s">
        <v>200</v>
      </c>
      <c r="F52" s="2" t="s">
        <v>201</v>
      </c>
      <c r="J52" s="6" t="s">
        <v>917</v>
      </c>
    </row>
    <row r="53" spans="1:10" ht="240" x14ac:dyDescent="0.25">
      <c r="A53" s="2" t="s">
        <v>692</v>
      </c>
      <c r="B53" s="2" t="s">
        <v>704</v>
      </c>
      <c r="C53" s="2" t="s">
        <v>705</v>
      </c>
      <c r="D53" s="2" t="s">
        <v>706</v>
      </c>
      <c r="E53" s="2" t="s">
        <v>692</v>
      </c>
      <c r="F53" s="2" t="s">
        <v>696</v>
      </c>
      <c r="J53" s="6" t="s">
        <v>918</v>
      </c>
    </row>
    <row r="54" spans="1:10" ht="180" x14ac:dyDescent="0.25">
      <c r="A54" s="2" t="s">
        <v>169</v>
      </c>
      <c r="B54" s="2" t="s">
        <v>181</v>
      </c>
      <c r="C54" s="2" t="s">
        <v>182</v>
      </c>
      <c r="D54" s="2" t="s">
        <v>183</v>
      </c>
      <c r="E54" s="2" t="s">
        <v>173</v>
      </c>
      <c r="F54" s="2" t="s">
        <v>174</v>
      </c>
      <c r="J54" s="6" t="s">
        <v>919</v>
      </c>
    </row>
    <row r="55" spans="1:10" ht="210" x14ac:dyDescent="0.25">
      <c r="A55" s="2" t="s">
        <v>820</v>
      </c>
      <c r="B55" s="2" t="s">
        <v>839</v>
      </c>
      <c r="C55" s="2" t="s">
        <v>840</v>
      </c>
      <c r="D55" s="2" t="s">
        <v>841</v>
      </c>
      <c r="E55" s="2" t="s">
        <v>820</v>
      </c>
      <c r="F55" s="2" t="s">
        <v>824</v>
      </c>
      <c r="J55" s="6" t="s">
        <v>920</v>
      </c>
    </row>
    <row r="56" spans="1:10" ht="270" x14ac:dyDescent="0.25">
      <c r="A56" s="2" t="s">
        <v>62</v>
      </c>
      <c r="B56" s="2" t="s">
        <v>63</v>
      </c>
      <c r="C56" s="2" t="s">
        <v>64</v>
      </c>
      <c r="D56" s="2" t="s">
        <v>65</v>
      </c>
      <c r="E56" s="2" t="s">
        <v>66</v>
      </c>
      <c r="F56" s="2" t="s">
        <v>67</v>
      </c>
      <c r="J56" s="6" t="s">
        <v>921</v>
      </c>
    </row>
    <row r="57" spans="1:10" ht="150" x14ac:dyDescent="0.25">
      <c r="A57" s="2" t="s">
        <v>611</v>
      </c>
      <c r="B57" s="2" t="s">
        <v>650</v>
      </c>
      <c r="C57" s="2" t="s">
        <v>648</v>
      </c>
      <c r="D57" s="2" t="s">
        <v>649</v>
      </c>
      <c r="E57" s="2" t="s">
        <v>615</v>
      </c>
      <c r="F57" s="2" t="s">
        <v>616</v>
      </c>
      <c r="J57" s="6" t="s">
        <v>922</v>
      </c>
    </row>
    <row r="58" spans="1:10" ht="210" x14ac:dyDescent="0.25">
      <c r="A58" s="2" t="s">
        <v>664</v>
      </c>
      <c r="B58" s="2" t="s">
        <v>668</v>
      </c>
      <c r="C58" s="2" t="s">
        <v>669</v>
      </c>
      <c r="D58" s="2" t="s">
        <v>670</v>
      </c>
      <c r="E58" s="2" t="s">
        <v>664</v>
      </c>
      <c r="F58" s="2" t="s">
        <v>667</v>
      </c>
      <c r="J58" s="6" t="s">
        <v>923</v>
      </c>
    </row>
    <row r="59" spans="1:10" ht="240" x14ac:dyDescent="0.25">
      <c r="A59" s="2" t="s">
        <v>229</v>
      </c>
      <c r="B59" s="2" t="s">
        <v>257</v>
      </c>
      <c r="C59" s="2" t="s">
        <v>258</v>
      </c>
      <c r="D59" s="2" t="s">
        <v>256</v>
      </c>
      <c r="E59" s="2" t="s">
        <v>233</v>
      </c>
      <c r="F59" s="2" t="s">
        <v>234</v>
      </c>
      <c r="J59" s="6" t="s">
        <v>924</v>
      </c>
    </row>
    <row r="60" spans="1:10" ht="195" x14ac:dyDescent="0.25">
      <c r="A60" s="2" t="s">
        <v>651</v>
      </c>
      <c r="B60" s="2" t="s">
        <v>657</v>
      </c>
      <c r="C60" s="2" t="s">
        <v>658</v>
      </c>
      <c r="D60" s="2" t="s">
        <v>659</v>
      </c>
      <c r="E60" s="2" t="s">
        <v>655</v>
      </c>
      <c r="F60" s="2" t="s">
        <v>656</v>
      </c>
      <c r="J60" s="6" t="s">
        <v>925</v>
      </c>
    </row>
    <row r="61" spans="1:10" ht="195" x14ac:dyDescent="0.25">
      <c r="A61" s="2" t="s">
        <v>651</v>
      </c>
      <c r="B61" s="2" t="s">
        <v>660</v>
      </c>
      <c r="C61" s="2" t="s">
        <v>653</v>
      </c>
      <c r="D61" s="2" t="s">
        <v>654</v>
      </c>
      <c r="E61" s="2" t="s">
        <v>655</v>
      </c>
      <c r="F61" s="2" t="s">
        <v>656</v>
      </c>
      <c r="J61" s="6" t="s">
        <v>926</v>
      </c>
    </row>
    <row r="62" spans="1:10" ht="195" x14ac:dyDescent="0.25">
      <c r="A62" s="2" t="s">
        <v>651</v>
      </c>
      <c r="B62" s="2" t="s">
        <v>661</v>
      </c>
      <c r="C62" s="2" t="s">
        <v>653</v>
      </c>
      <c r="D62" s="2" t="s">
        <v>654</v>
      </c>
      <c r="E62" s="2" t="s">
        <v>655</v>
      </c>
      <c r="F62" s="2" t="s">
        <v>656</v>
      </c>
      <c r="J62" s="6" t="s">
        <v>927</v>
      </c>
    </row>
    <row r="63" spans="1:10" ht="225" x14ac:dyDescent="0.25">
      <c r="A63" s="2" t="s">
        <v>611</v>
      </c>
      <c r="B63" s="2" t="s">
        <v>599</v>
      </c>
      <c r="C63" s="2" t="s">
        <v>624</v>
      </c>
      <c r="D63" s="2" t="s">
        <v>625</v>
      </c>
      <c r="E63" s="2" t="s">
        <v>615</v>
      </c>
      <c r="F63" s="2" t="s">
        <v>616</v>
      </c>
      <c r="J63" s="6" t="s">
        <v>928</v>
      </c>
    </row>
    <row r="64" spans="1:10" ht="225" x14ac:dyDescent="0.25">
      <c r="A64" s="2" t="s">
        <v>583</v>
      </c>
      <c r="B64" s="2" t="s">
        <v>599</v>
      </c>
      <c r="C64" s="2" t="s">
        <v>600</v>
      </c>
      <c r="D64" s="2" t="s">
        <v>601</v>
      </c>
      <c r="E64" s="2" t="s">
        <v>586</v>
      </c>
      <c r="F64" s="2" t="s">
        <v>587</v>
      </c>
      <c r="J64" s="6" t="s">
        <v>929</v>
      </c>
    </row>
    <row r="65" spans="1:10" ht="150" x14ac:dyDescent="0.25">
      <c r="A65" s="2" t="s">
        <v>741</v>
      </c>
      <c r="B65" s="2" t="s">
        <v>750</v>
      </c>
      <c r="C65" s="2" t="s">
        <v>751</v>
      </c>
      <c r="D65" s="2" t="s">
        <v>619</v>
      </c>
      <c r="E65" s="2" t="s">
        <v>744</v>
      </c>
      <c r="F65" s="2" t="s">
        <v>745</v>
      </c>
      <c r="J65" s="6" t="s">
        <v>930</v>
      </c>
    </row>
    <row r="66" spans="1:10" ht="210" x14ac:dyDescent="0.25">
      <c r="A66" s="2" t="s">
        <v>820</v>
      </c>
      <c r="B66" s="2" t="s">
        <v>846</v>
      </c>
      <c r="C66" s="2" t="s">
        <v>847</v>
      </c>
      <c r="D66" s="2" t="s">
        <v>194</v>
      </c>
      <c r="E66" s="2" t="s">
        <v>820</v>
      </c>
      <c r="F66" s="2" t="s">
        <v>824</v>
      </c>
      <c r="J66" s="6" t="s">
        <v>931</v>
      </c>
    </row>
    <row r="67" spans="1:10" ht="210" x14ac:dyDescent="0.25">
      <c r="A67" s="2" t="s">
        <v>14</v>
      </c>
      <c r="B67" s="2" t="s">
        <v>29</v>
      </c>
      <c r="C67" s="2" t="s">
        <v>30</v>
      </c>
      <c r="D67" s="2" t="s">
        <v>31</v>
      </c>
      <c r="E67" s="2" t="s">
        <v>18</v>
      </c>
      <c r="F67" s="2" t="s">
        <v>19</v>
      </c>
      <c r="J67" s="6" t="s">
        <v>932</v>
      </c>
    </row>
    <row r="68" spans="1:10" ht="195" x14ac:dyDescent="0.25">
      <c r="A68" s="2" t="s">
        <v>794</v>
      </c>
      <c r="B68" s="2" t="s">
        <v>801</v>
      </c>
      <c r="C68" s="2" t="s">
        <v>796</v>
      </c>
      <c r="D68" s="2" t="s">
        <v>797</v>
      </c>
      <c r="E68" s="2" t="s">
        <v>798</v>
      </c>
      <c r="F68" s="2" t="s">
        <v>799</v>
      </c>
      <c r="J68" s="6" t="s">
        <v>933</v>
      </c>
    </row>
    <row r="69" spans="1:10" ht="195" x14ac:dyDescent="0.25">
      <c r="A69" s="2" t="s">
        <v>794</v>
      </c>
      <c r="B69" s="2" t="s">
        <v>795</v>
      </c>
      <c r="C69" s="2" t="s">
        <v>796</v>
      </c>
      <c r="D69" s="2" t="s">
        <v>797</v>
      </c>
      <c r="E69" s="2" t="s">
        <v>798</v>
      </c>
      <c r="F69" s="2" t="s">
        <v>799</v>
      </c>
      <c r="J69" s="6" t="s">
        <v>934</v>
      </c>
    </row>
    <row r="70" spans="1:10" ht="255" x14ac:dyDescent="0.25">
      <c r="A70" s="2" t="s">
        <v>340</v>
      </c>
      <c r="B70" s="2" t="s">
        <v>341</v>
      </c>
      <c r="C70" s="2" t="s">
        <v>342</v>
      </c>
      <c r="D70" s="2" t="s">
        <v>343</v>
      </c>
      <c r="E70" s="2" t="s">
        <v>344</v>
      </c>
      <c r="F70" s="2" t="s">
        <v>345</v>
      </c>
      <c r="J70" s="6" t="s">
        <v>935</v>
      </c>
    </row>
    <row r="71" spans="1:10" ht="195" x14ac:dyDescent="0.25">
      <c r="A71" s="2" t="s">
        <v>794</v>
      </c>
      <c r="B71" s="2" t="s">
        <v>800</v>
      </c>
      <c r="C71" s="2" t="s">
        <v>796</v>
      </c>
      <c r="D71" s="2" t="s">
        <v>797</v>
      </c>
      <c r="E71" s="2" t="s">
        <v>798</v>
      </c>
      <c r="F71" s="2" t="s">
        <v>799</v>
      </c>
      <c r="J71" s="6" t="s">
        <v>873</v>
      </c>
    </row>
    <row r="72" spans="1:10" ht="150" x14ac:dyDescent="0.25">
      <c r="A72" s="2" t="s">
        <v>720</v>
      </c>
      <c r="B72" s="2" t="s">
        <v>734</v>
      </c>
      <c r="C72" s="2" t="s">
        <v>735</v>
      </c>
      <c r="D72" s="2" t="s">
        <v>736</v>
      </c>
      <c r="E72" s="2" t="s">
        <v>720</v>
      </c>
      <c r="F72" s="2" t="s">
        <v>724</v>
      </c>
    </row>
    <row r="73" spans="1:10" ht="150" x14ac:dyDescent="0.25">
      <c r="A73" s="2" t="s">
        <v>758</v>
      </c>
      <c r="B73" s="2" t="s">
        <v>779</v>
      </c>
      <c r="C73" s="2" t="s">
        <v>780</v>
      </c>
      <c r="D73" s="2" t="s">
        <v>781</v>
      </c>
      <c r="E73" s="2" t="s">
        <v>762</v>
      </c>
      <c r="F73" s="2" t="s">
        <v>763</v>
      </c>
    </row>
    <row r="74" spans="1:10" ht="135" x14ac:dyDescent="0.25">
      <c r="A74" s="2" t="s">
        <v>383</v>
      </c>
      <c r="B74" s="2" t="s">
        <v>384</v>
      </c>
      <c r="C74" s="2" t="s">
        <v>385</v>
      </c>
      <c r="D74" s="2" t="s">
        <v>386</v>
      </c>
      <c r="E74" s="2" t="s">
        <v>387</v>
      </c>
      <c r="F74" s="2" t="s">
        <v>388</v>
      </c>
    </row>
    <row r="75" spans="1:10" ht="240" x14ac:dyDescent="0.25">
      <c r="A75" s="2" t="s">
        <v>431</v>
      </c>
      <c r="B75" s="2" t="s">
        <v>437</v>
      </c>
      <c r="C75" s="2" t="s">
        <v>438</v>
      </c>
      <c r="D75" s="2" t="s">
        <v>439</v>
      </c>
      <c r="E75" s="2" t="s">
        <v>435</v>
      </c>
      <c r="F75" s="2" t="s">
        <v>436</v>
      </c>
    </row>
    <row r="76" spans="1:10" ht="255" x14ac:dyDescent="0.25">
      <c r="A76" s="2" t="s">
        <v>340</v>
      </c>
      <c r="B76" s="2" t="s">
        <v>356</v>
      </c>
      <c r="C76" s="2" t="s">
        <v>357</v>
      </c>
      <c r="D76" s="2" t="s">
        <v>358</v>
      </c>
      <c r="E76" s="2" t="s">
        <v>344</v>
      </c>
      <c r="F76" s="2" t="s">
        <v>345</v>
      </c>
    </row>
    <row r="77" spans="1:10" ht="210" x14ac:dyDescent="0.25">
      <c r="A77" s="2" t="s">
        <v>443</v>
      </c>
      <c r="B77" s="2" t="s">
        <v>449</v>
      </c>
      <c r="C77" s="2" t="s">
        <v>450</v>
      </c>
      <c r="D77" s="2" t="s">
        <v>451</v>
      </c>
      <c r="E77" s="2" t="s">
        <v>447</v>
      </c>
      <c r="F77" s="2" t="s">
        <v>448</v>
      </c>
    </row>
    <row r="78" spans="1:10" ht="270" x14ac:dyDescent="0.25">
      <c r="A78" s="2" t="s">
        <v>62</v>
      </c>
      <c r="B78" s="2" t="s">
        <v>71</v>
      </c>
      <c r="C78" s="2" t="s">
        <v>72</v>
      </c>
      <c r="D78" s="2" t="s">
        <v>73</v>
      </c>
      <c r="E78" s="2" t="s">
        <v>66</v>
      </c>
      <c r="F78" s="2" t="s">
        <v>67</v>
      </c>
    </row>
    <row r="79" spans="1:10" ht="210" x14ac:dyDescent="0.25">
      <c r="A79" s="2" t="s">
        <v>664</v>
      </c>
      <c r="B79" s="2" t="s">
        <v>690</v>
      </c>
      <c r="C79" s="2" t="s">
        <v>691</v>
      </c>
      <c r="D79" s="2" t="s">
        <v>676</v>
      </c>
      <c r="E79" s="2" t="s">
        <v>664</v>
      </c>
      <c r="F79" s="2" t="s">
        <v>667</v>
      </c>
    </row>
    <row r="80" spans="1:10" ht="120" x14ac:dyDescent="0.25">
      <c r="A80" s="2" t="s">
        <v>94</v>
      </c>
      <c r="B80" s="2" t="s">
        <v>106</v>
      </c>
      <c r="C80" s="2" t="s">
        <v>107</v>
      </c>
      <c r="D80" s="2" t="s">
        <v>108</v>
      </c>
      <c r="E80" s="2" t="s">
        <v>98</v>
      </c>
      <c r="F80" s="2" t="s">
        <v>99</v>
      </c>
    </row>
    <row r="81" spans="1:6" ht="240" x14ac:dyDescent="0.25">
      <c r="A81" s="2" t="s">
        <v>804</v>
      </c>
      <c r="B81" s="2" t="s">
        <v>815</v>
      </c>
      <c r="C81" s="2" t="s">
        <v>816</v>
      </c>
      <c r="D81" s="2" t="s">
        <v>414</v>
      </c>
      <c r="E81" s="2" t="s">
        <v>807</v>
      </c>
      <c r="F81" s="2" t="s">
        <v>808</v>
      </c>
    </row>
    <row r="82" spans="1:6" ht="150" x14ac:dyDescent="0.25">
      <c r="A82" s="2" t="s">
        <v>611</v>
      </c>
      <c r="B82" s="2" t="s">
        <v>644</v>
      </c>
      <c r="C82" s="2" t="s">
        <v>645</v>
      </c>
      <c r="D82" s="2" t="s">
        <v>646</v>
      </c>
      <c r="E82" s="2" t="s">
        <v>615</v>
      </c>
      <c r="F82" s="2" t="s">
        <v>616</v>
      </c>
    </row>
    <row r="83" spans="1:6" ht="210" x14ac:dyDescent="0.25">
      <c r="A83" s="2" t="s">
        <v>664</v>
      </c>
      <c r="B83" s="2" t="s">
        <v>674</v>
      </c>
      <c r="C83" s="2" t="s">
        <v>675</v>
      </c>
      <c r="D83" s="2" t="s">
        <v>676</v>
      </c>
      <c r="E83" s="2" t="s">
        <v>664</v>
      </c>
      <c r="F83" s="2" t="s">
        <v>667</v>
      </c>
    </row>
    <row r="84" spans="1:6" ht="180" x14ac:dyDescent="0.25">
      <c r="A84" s="2" t="s">
        <v>562</v>
      </c>
      <c r="B84" s="2" t="s">
        <v>573</v>
      </c>
      <c r="C84" s="2" t="s">
        <v>574</v>
      </c>
      <c r="D84" s="2" t="s">
        <v>565</v>
      </c>
      <c r="E84" s="2" t="s">
        <v>550</v>
      </c>
      <c r="F84" s="2" t="s">
        <v>562</v>
      </c>
    </row>
    <row r="85" spans="1:6" ht="210" x14ac:dyDescent="0.25">
      <c r="A85" s="2" t="s">
        <v>820</v>
      </c>
      <c r="B85" s="2" t="s">
        <v>830</v>
      </c>
      <c r="C85" s="2" t="s">
        <v>831</v>
      </c>
      <c r="D85" s="2" t="s">
        <v>832</v>
      </c>
      <c r="E85" s="2" t="s">
        <v>820</v>
      </c>
      <c r="F85" s="2" t="s">
        <v>824</v>
      </c>
    </row>
    <row r="86" spans="1:6" ht="210" x14ac:dyDescent="0.25">
      <c r="A86" s="2" t="s">
        <v>737</v>
      </c>
      <c r="B86" s="2" t="s">
        <v>738</v>
      </c>
      <c r="C86" s="2" t="s">
        <v>595</v>
      </c>
      <c r="D86" s="2" t="s">
        <v>739</v>
      </c>
      <c r="E86" s="2" t="s">
        <v>740</v>
      </c>
      <c r="F86" s="2" t="s">
        <v>737</v>
      </c>
    </row>
    <row r="87" spans="1:6" ht="225" x14ac:dyDescent="0.25">
      <c r="A87" s="2" t="s">
        <v>534</v>
      </c>
      <c r="B87" s="2" t="s">
        <v>535</v>
      </c>
      <c r="C87" s="2" t="s">
        <v>536</v>
      </c>
      <c r="D87" s="2" t="s">
        <v>537</v>
      </c>
      <c r="E87" s="2" t="s">
        <v>538</v>
      </c>
      <c r="F87" s="2" t="s">
        <v>539</v>
      </c>
    </row>
    <row r="88" spans="1:6" ht="120" x14ac:dyDescent="0.25">
      <c r="A88" s="2" t="s">
        <v>316</v>
      </c>
      <c r="B88" s="2" t="s">
        <v>323</v>
      </c>
      <c r="C88" s="2" t="s">
        <v>324</v>
      </c>
      <c r="D88" s="2" t="s">
        <v>325</v>
      </c>
      <c r="E88" s="2" t="s">
        <v>320</v>
      </c>
      <c r="F88" s="2" t="s">
        <v>321</v>
      </c>
    </row>
    <row r="89" spans="1:6" ht="135" x14ac:dyDescent="0.25">
      <c r="A89" s="2" t="s">
        <v>499</v>
      </c>
      <c r="B89" s="2" t="s">
        <v>500</v>
      </c>
      <c r="C89" s="2" t="s">
        <v>501</v>
      </c>
      <c r="D89" s="2" t="s">
        <v>391</v>
      </c>
      <c r="E89" s="2" t="s">
        <v>502</v>
      </c>
      <c r="F89" s="2" t="s">
        <v>503</v>
      </c>
    </row>
    <row r="90" spans="1:6" ht="240" x14ac:dyDescent="0.25">
      <c r="A90" s="2" t="s">
        <v>692</v>
      </c>
      <c r="B90" s="2" t="s">
        <v>697</v>
      </c>
      <c r="C90" s="2" t="s">
        <v>698</v>
      </c>
      <c r="D90" s="2" t="s">
        <v>699</v>
      </c>
      <c r="E90" s="2" t="s">
        <v>692</v>
      </c>
      <c r="F90" s="2" t="s">
        <v>696</v>
      </c>
    </row>
    <row r="91" spans="1:6" ht="210" x14ac:dyDescent="0.25">
      <c r="A91" s="2" t="s">
        <v>820</v>
      </c>
      <c r="B91" s="2" t="s">
        <v>851</v>
      </c>
      <c r="C91" s="2" t="s">
        <v>852</v>
      </c>
      <c r="D91" s="2" t="s">
        <v>853</v>
      </c>
      <c r="E91" s="2" t="s">
        <v>820</v>
      </c>
      <c r="F91" s="2" t="s">
        <v>824</v>
      </c>
    </row>
    <row r="92" spans="1:6" ht="195" x14ac:dyDescent="0.25">
      <c r="A92" s="2" t="s">
        <v>854</v>
      </c>
      <c r="B92" s="2" t="s">
        <v>858</v>
      </c>
      <c r="C92" s="2" t="s">
        <v>859</v>
      </c>
      <c r="D92" s="2" t="s">
        <v>456</v>
      </c>
      <c r="E92" s="2" t="s">
        <v>854</v>
      </c>
      <c r="F92" s="2" t="s">
        <v>857</v>
      </c>
    </row>
    <row r="93" spans="1:6" ht="195" x14ac:dyDescent="0.25">
      <c r="A93" s="2" t="s">
        <v>583</v>
      </c>
      <c r="B93" s="2" t="s">
        <v>591</v>
      </c>
      <c r="C93" s="2" t="s">
        <v>111</v>
      </c>
      <c r="D93" s="2" t="s">
        <v>585</v>
      </c>
      <c r="E93" s="2" t="s">
        <v>586</v>
      </c>
      <c r="F93" s="2" t="s">
        <v>587</v>
      </c>
    </row>
    <row r="94" spans="1:6" ht="195" x14ac:dyDescent="0.25">
      <c r="A94" s="2" t="s">
        <v>583</v>
      </c>
      <c r="B94" s="2" t="s">
        <v>608</v>
      </c>
      <c r="C94" s="2" t="s">
        <v>609</v>
      </c>
      <c r="D94" s="2" t="s">
        <v>610</v>
      </c>
      <c r="E94" s="2" t="s">
        <v>586</v>
      </c>
      <c r="F94" s="2" t="s">
        <v>587</v>
      </c>
    </row>
    <row r="95" spans="1:6" ht="270" x14ac:dyDescent="0.25">
      <c r="A95" s="2" t="s">
        <v>583</v>
      </c>
      <c r="B95" s="2" t="s">
        <v>584</v>
      </c>
      <c r="C95" s="2" t="s">
        <v>111</v>
      </c>
      <c r="D95" s="2" t="s">
        <v>585</v>
      </c>
      <c r="E95" s="2" t="s">
        <v>586</v>
      </c>
      <c r="F95" s="2" t="s">
        <v>587</v>
      </c>
    </row>
    <row r="96" spans="1:6" ht="135" x14ac:dyDescent="0.25">
      <c r="A96" s="2" t="s">
        <v>741</v>
      </c>
      <c r="B96" s="2" t="s">
        <v>742</v>
      </c>
      <c r="C96" s="2" t="s">
        <v>111</v>
      </c>
      <c r="D96" s="2" t="s">
        <v>743</v>
      </c>
      <c r="E96" s="2" t="s">
        <v>744</v>
      </c>
      <c r="F96" s="2" t="s">
        <v>745</v>
      </c>
    </row>
    <row r="97" spans="1:6" ht="210" x14ac:dyDescent="0.25">
      <c r="A97" s="2" t="s">
        <v>109</v>
      </c>
      <c r="B97" s="2" t="s">
        <v>110</v>
      </c>
      <c r="C97" s="2" t="s">
        <v>111</v>
      </c>
      <c r="D97" s="2" t="s">
        <v>112</v>
      </c>
      <c r="E97" s="2" t="s">
        <v>113</v>
      </c>
      <c r="F97" s="2" t="s">
        <v>114</v>
      </c>
    </row>
    <row r="98" spans="1:6" ht="180" x14ac:dyDescent="0.25">
      <c r="A98" s="2" t="s">
        <v>38</v>
      </c>
      <c r="B98" s="2" t="s">
        <v>53</v>
      </c>
      <c r="C98" s="2" t="s">
        <v>54</v>
      </c>
      <c r="D98" s="2" t="s">
        <v>55</v>
      </c>
      <c r="E98" s="2" t="s">
        <v>42</v>
      </c>
      <c r="F98" s="2" t="s">
        <v>43</v>
      </c>
    </row>
    <row r="99" spans="1:6" ht="195" x14ac:dyDescent="0.25">
      <c r="A99" s="2" t="s">
        <v>583</v>
      </c>
      <c r="B99" s="2" t="s">
        <v>605</v>
      </c>
      <c r="C99" s="2" t="s">
        <v>606</v>
      </c>
      <c r="D99" s="2" t="s">
        <v>607</v>
      </c>
      <c r="E99" s="2" t="s">
        <v>586</v>
      </c>
      <c r="F99" s="2" t="s">
        <v>587</v>
      </c>
    </row>
    <row r="100" spans="1:6" ht="210" x14ac:dyDescent="0.25">
      <c r="A100" s="2" t="s">
        <v>664</v>
      </c>
      <c r="B100" s="2" t="s">
        <v>665</v>
      </c>
      <c r="C100" s="2" t="s">
        <v>666</v>
      </c>
      <c r="D100" s="2" t="s">
        <v>634</v>
      </c>
      <c r="E100" s="2" t="s">
        <v>664</v>
      </c>
      <c r="F100" s="2" t="s">
        <v>667</v>
      </c>
    </row>
    <row r="101" spans="1:6" ht="165" x14ac:dyDescent="0.25">
      <c r="A101" s="2" t="s">
        <v>546</v>
      </c>
      <c r="B101" s="2" t="s">
        <v>559</v>
      </c>
      <c r="C101" s="2" t="s">
        <v>560</v>
      </c>
      <c r="D101" s="2" t="s">
        <v>561</v>
      </c>
      <c r="E101" s="2" t="s">
        <v>550</v>
      </c>
      <c r="F101" s="2" t="s">
        <v>551</v>
      </c>
    </row>
    <row r="102" spans="1:6" ht="165" x14ac:dyDescent="0.25">
      <c r="A102" s="2" t="s">
        <v>546</v>
      </c>
      <c r="B102" s="2" t="s">
        <v>557</v>
      </c>
      <c r="C102" s="2" t="s">
        <v>558</v>
      </c>
      <c r="D102" s="2" t="s">
        <v>549</v>
      </c>
      <c r="E102" s="2" t="s">
        <v>550</v>
      </c>
      <c r="F102" s="2" t="s">
        <v>551</v>
      </c>
    </row>
    <row r="103" spans="1:6" ht="150" x14ac:dyDescent="0.25">
      <c r="A103" s="2" t="s">
        <v>611</v>
      </c>
      <c r="B103" s="2" t="s">
        <v>626</v>
      </c>
      <c r="C103" s="2" t="s">
        <v>627</v>
      </c>
      <c r="D103" s="2" t="s">
        <v>619</v>
      </c>
      <c r="E103" s="2" t="s">
        <v>615</v>
      </c>
      <c r="F103" s="2" t="s">
        <v>616</v>
      </c>
    </row>
    <row r="104" spans="1:6" ht="210" x14ac:dyDescent="0.25">
      <c r="A104" s="2" t="s">
        <v>196</v>
      </c>
      <c r="B104" s="2" t="s">
        <v>214</v>
      </c>
      <c r="C104" s="2" t="s">
        <v>215</v>
      </c>
      <c r="D104" s="2" t="s">
        <v>216</v>
      </c>
      <c r="E104" s="2" t="s">
        <v>200</v>
      </c>
      <c r="F104" s="2" t="s">
        <v>201</v>
      </c>
    </row>
    <row r="105" spans="1:6" ht="120" x14ac:dyDescent="0.25">
      <c r="A105" s="2" t="s">
        <v>741</v>
      </c>
      <c r="B105" s="2" t="s">
        <v>747</v>
      </c>
      <c r="C105" s="2" t="s">
        <v>748</v>
      </c>
      <c r="D105" s="2" t="s">
        <v>749</v>
      </c>
      <c r="E105" s="2" t="s">
        <v>744</v>
      </c>
      <c r="F105" s="2" t="s">
        <v>745</v>
      </c>
    </row>
    <row r="106" spans="1:6" ht="255" x14ac:dyDescent="0.25">
      <c r="A106" s="2" t="s">
        <v>340</v>
      </c>
      <c r="B106" s="2" t="s">
        <v>346</v>
      </c>
      <c r="C106" s="2" t="s">
        <v>347</v>
      </c>
      <c r="D106" s="2" t="s">
        <v>348</v>
      </c>
      <c r="E106" s="2" t="s">
        <v>344</v>
      </c>
      <c r="F106" s="2" t="s">
        <v>345</v>
      </c>
    </row>
    <row r="107" spans="1:6" ht="210" x14ac:dyDescent="0.25">
      <c r="A107" s="2" t="s">
        <v>109</v>
      </c>
      <c r="B107" s="2" t="s">
        <v>121</v>
      </c>
      <c r="C107" s="2" t="s">
        <v>122</v>
      </c>
      <c r="D107" s="2" t="s">
        <v>123</v>
      </c>
      <c r="E107" s="2" t="s">
        <v>113</v>
      </c>
      <c r="F107" s="2" t="s">
        <v>114</v>
      </c>
    </row>
    <row r="108" spans="1:6" ht="150" x14ac:dyDescent="0.25">
      <c r="A108" s="2" t="s">
        <v>611</v>
      </c>
      <c r="B108" s="2" t="s">
        <v>637</v>
      </c>
      <c r="C108" s="2" t="s">
        <v>633</v>
      </c>
      <c r="D108" s="2" t="s">
        <v>634</v>
      </c>
      <c r="E108" s="2" t="s">
        <v>615</v>
      </c>
      <c r="F108" s="2" t="s">
        <v>616</v>
      </c>
    </row>
    <row r="109" spans="1:6" ht="150" x14ac:dyDescent="0.25">
      <c r="A109" s="2" t="s">
        <v>611</v>
      </c>
      <c r="B109" s="2" t="s">
        <v>635</v>
      </c>
      <c r="C109" s="2" t="s">
        <v>633</v>
      </c>
      <c r="D109" s="2" t="s">
        <v>634</v>
      </c>
      <c r="E109" s="2" t="s">
        <v>615</v>
      </c>
      <c r="F109" s="2" t="s">
        <v>616</v>
      </c>
    </row>
    <row r="110" spans="1:6" ht="150" x14ac:dyDescent="0.25">
      <c r="A110" s="2" t="s">
        <v>611</v>
      </c>
      <c r="B110" s="2" t="s">
        <v>639</v>
      </c>
      <c r="C110" s="2" t="s">
        <v>633</v>
      </c>
      <c r="D110" s="2" t="s">
        <v>634</v>
      </c>
      <c r="E110" s="2" t="s">
        <v>615</v>
      </c>
      <c r="F110" s="2" t="s">
        <v>616</v>
      </c>
    </row>
    <row r="111" spans="1:6" ht="150" x14ac:dyDescent="0.25">
      <c r="A111" s="2" t="s">
        <v>611</v>
      </c>
      <c r="B111" s="2" t="s">
        <v>643</v>
      </c>
      <c r="C111" s="2" t="s">
        <v>633</v>
      </c>
      <c r="D111" s="2" t="s">
        <v>634</v>
      </c>
      <c r="E111" s="2" t="s">
        <v>615</v>
      </c>
      <c r="F111" s="2" t="s">
        <v>616</v>
      </c>
    </row>
    <row r="112" spans="1:6" ht="150" x14ac:dyDescent="0.25">
      <c r="A112" s="2" t="s">
        <v>611</v>
      </c>
      <c r="B112" s="2" t="s">
        <v>632</v>
      </c>
      <c r="C112" s="2" t="s">
        <v>633</v>
      </c>
      <c r="D112" s="2" t="s">
        <v>634</v>
      </c>
      <c r="E112" s="2" t="s">
        <v>615</v>
      </c>
      <c r="F112" s="2" t="s">
        <v>616</v>
      </c>
    </row>
    <row r="113" spans="1:6" ht="150" x14ac:dyDescent="0.25">
      <c r="A113" s="2" t="s">
        <v>611</v>
      </c>
      <c r="B113" s="2" t="s">
        <v>638</v>
      </c>
      <c r="C113" s="2" t="s">
        <v>633</v>
      </c>
      <c r="D113" s="2" t="s">
        <v>634</v>
      </c>
      <c r="E113" s="2" t="s">
        <v>615</v>
      </c>
      <c r="F113" s="2" t="s">
        <v>616</v>
      </c>
    </row>
    <row r="114" spans="1:6" ht="150" x14ac:dyDescent="0.25">
      <c r="A114" s="2" t="s">
        <v>611</v>
      </c>
      <c r="B114" s="2" t="s">
        <v>636</v>
      </c>
      <c r="C114" s="2" t="s">
        <v>633</v>
      </c>
      <c r="D114" s="2" t="s">
        <v>634</v>
      </c>
      <c r="E114" s="2" t="s">
        <v>615</v>
      </c>
      <c r="F114" s="2" t="s">
        <v>616</v>
      </c>
    </row>
    <row r="115" spans="1:6" ht="120" x14ac:dyDescent="0.25">
      <c r="A115" s="2" t="s">
        <v>804</v>
      </c>
      <c r="B115" s="2" t="s">
        <v>819</v>
      </c>
      <c r="C115" s="2" t="s">
        <v>418</v>
      </c>
      <c r="D115" s="2" t="s">
        <v>414</v>
      </c>
      <c r="E115" s="2" t="s">
        <v>807</v>
      </c>
      <c r="F115" s="2" t="s">
        <v>808</v>
      </c>
    </row>
    <row r="116" spans="1:6" ht="300" x14ac:dyDescent="0.25">
      <c r="A116" s="2" t="s">
        <v>398</v>
      </c>
      <c r="B116" s="2" t="s">
        <v>417</v>
      </c>
      <c r="C116" s="2" t="s">
        <v>418</v>
      </c>
      <c r="D116" s="2" t="s">
        <v>414</v>
      </c>
      <c r="E116" s="2" t="s">
        <v>401</v>
      </c>
      <c r="F116" s="2" t="s">
        <v>402</v>
      </c>
    </row>
    <row r="117" spans="1:6" ht="180" x14ac:dyDescent="0.25">
      <c r="A117" s="2" t="s">
        <v>457</v>
      </c>
      <c r="B117" s="2" t="s">
        <v>461</v>
      </c>
      <c r="C117" s="2" t="s">
        <v>462</v>
      </c>
      <c r="D117" s="2" t="s">
        <v>328</v>
      </c>
      <c r="E117" s="2" t="s">
        <v>460</v>
      </c>
      <c r="F117" s="2" t="s">
        <v>458</v>
      </c>
    </row>
    <row r="118" spans="1:6" ht="150" x14ac:dyDescent="0.25">
      <c r="A118" s="2" t="s">
        <v>611</v>
      </c>
      <c r="B118" s="2" t="s">
        <v>628</v>
      </c>
      <c r="C118" s="2" t="s">
        <v>629</v>
      </c>
      <c r="D118" s="2" t="s">
        <v>619</v>
      </c>
      <c r="E118" s="2" t="s">
        <v>615</v>
      </c>
      <c r="F118" s="2" t="s">
        <v>616</v>
      </c>
    </row>
    <row r="119" spans="1:6" ht="195" x14ac:dyDescent="0.25">
      <c r="A119" s="2" t="s">
        <v>710</v>
      </c>
      <c r="B119" s="2" t="s">
        <v>711</v>
      </c>
      <c r="C119" s="2" t="s">
        <v>712</v>
      </c>
      <c r="D119" s="2" t="s">
        <v>713</v>
      </c>
      <c r="E119" s="2" t="s">
        <v>714</v>
      </c>
      <c r="F119" s="2" t="s">
        <v>715</v>
      </c>
    </row>
    <row r="120" spans="1:6" ht="150" x14ac:dyDescent="0.25">
      <c r="A120" s="2" t="s">
        <v>169</v>
      </c>
      <c r="B120" s="2" t="s">
        <v>178</v>
      </c>
      <c r="C120" s="2" t="s">
        <v>179</v>
      </c>
      <c r="D120" s="2" t="s">
        <v>180</v>
      </c>
      <c r="E120" s="2" t="s">
        <v>173</v>
      </c>
      <c r="F120" s="2" t="s">
        <v>174</v>
      </c>
    </row>
    <row r="121" spans="1:6" ht="150" x14ac:dyDescent="0.25">
      <c r="A121" s="2" t="s">
        <v>611</v>
      </c>
      <c r="B121" s="2" t="s">
        <v>594</v>
      </c>
      <c r="C121" s="2" t="s">
        <v>595</v>
      </c>
      <c r="D121" s="2" t="s">
        <v>623</v>
      </c>
      <c r="E121" s="2" t="s">
        <v>615</v>
      </c>
      <c r="F121" s="2" t="s">
        <v>616</v>
      </c>
    </row>
    <row r="122" spans="1:6" ht="195" x14ac:dyDescent="0.25">
      <c r="A122" s="2" t="s">
        <v>583</v>
      </c>
      <c r="B122" s="2" t="s">
        <v>594</v>
      </c>
      <c r="C122" s="2" t="s">
        <v>595</v>
      </c>
      <c r="D122" s="2" t="s">
        <v>585</v>
      </c>
      <c r="E122" s="2" t="s">
        <v>586</v>
      </c>
      <c r="F122" s="2" t="s">
        <v>587</v>
      </c>
    </row>
    <row r="123" spans="1:6" ht="195" x14ac:dyDescent="0.25">
      <c r="A123" s="2" t="s">
        <v>583</v>
      </c>
      <c r="B123" s="2" t="s">
        <v>592</v>
      </c>
      <c r="C123" s="2" t="s">
        <v>111</v>
      </c>
      <c r="D123" s="2" t="s">
        <v>585</v>
      </c>
      <c r="E123" s="2" t="s">
        <v>586</v>
      </c>
      <c r="F123" s="2" t="s">
        <v>587</v>
      </c>
    </row>
    <row r="124" spans="1:6" ht="210" x14ac:dyDescent="0.25">
      <c r="A124" s="2" t="s">
        <v>14</v>
      </c>
      <c r="B124" s="2" t="s">
        <v>35</v>
      </c>
      <c r="C124" s="2" t="s">
        <v>36</v>
      </c>
      <c r="D124" s="2" t="s">
        <v>37</v>
      </c>
      <c r="E124" s="2" t="s">
        <v>18</v>
      </c>
      <c r="F124" s="2" t="s">
        <v>19</v>
      </c>
    </row>
    <row r="125" spans="1:6" ht="225" x14ac:dyDescent="0.25">
      <c r="A125" s="2" t="s">
        <v>758</v>
      </c>
      <c r="B125" s="2" t="s">
        <v>773</v>
      </c>
      <c r="C125" s="2" t="s">
        <v>774</v>
      </c>
      <c r="D125" s="2" t="s">
        <v>775</v>
      </c>
      <c r="E125" s="2" t="s">
        <v>762</v>
      </c>
      <c r="F125" s="2" t="s">
        <v>763</v>
      </c>
    </row>
    <row r="126" spans="1:6" ht="210" x14ac:dyDescent="0.25">
      <c r="A126" s="2" t="s">
        <v>196</v>
      </c>
      <c r="B126" s="2" t="s">
        <v>223</v>
      </c>
      <c r="C126" s="2" t="s">
        <v>224</v>
      </c>
      <c r="D126" s="2" t="s">
        <v>225</v>
      </c>
      <c r="E126" s="2" t="s">
        <v>200</v>
      </c>
      <c r="F126" s="2" t="s">
        <v>201</v>
      </c>
    </row>
    <row r="127" spans="1:6" ht="210" x14ac:dyDescent="0.25">
      <c r="A127" s="2" t="s">
        <v>820</v>
      </c>
      <c r="B127" s="2" t="s">
        <v>848</v>
      </c>
      <c r="C127" s="2" t="s">
        <v>849</v>
      </c>
      <c r="D127" s="2" t="s">
        <v>850</v>
      </c>
      <c r="E127" s="2" t="s">
        <v>820</v>
      </c>
      <c r="F127" s="2" t="s">
        <v>824</v>
      </c>
    </row>
    <row r="128" spans="1:6" ht="195" x14ac:dyDescent="0.25">
      <c r="A128" s="2" t="s">
        <v>529</v>
      </c>
      <c r="B128" s="2" t="s">
        <v>530</v>
      </c>
      <c r="C128" s="2" t="s">
        <v>531</v>
      </c>
      <c r="D128" s="2" t="s">
        <v>328</v>
      </c>
      <c r="E128" s="2" t="s">
        <v>532</v>
      </c>
      <c r="F128" s="2" t="s">
        <v>533</v>
      </c>
    </row>
    <row r="129" spans="1:6" ht="150" x14ac:dyDescent="0.25">
      <c r="A129" s="2" t="s">
        <v>169</v>
      </c>
      <c r="B129" s="2" t="s">
        <v>175</v>
      </c>
      <c r="C129" s="2" t="s">
        <v>176</v>
      </c>
      <c r="D129" s="2" t="s">
        <v>177</v>
      </c>
      <c r="E129" s="2" t="s">
        <v>173</v>
      </c>
      <c r="F129" s="2" t="s">
        <v>174</v>
      </c>
    </row>
    <row r="130" spans="1:6" ht="120" x14ac:dyDescent="0.25">
      <c r="A130" s="2" t="s">
        <v>471</v>
      </c>
      <c r="B130" s="2" t="s">
        <v>485</v>
      </c>
      <c r="C130" s="2" t="s">
        <v>486</v>
      </c>
      <c r="D130" s="2" t="s">
        <v>274</v>
      </c>
      <c r="E130" s="2" t="s">
        <v>475</v>
      </c>
      <c r="F130" s="2" t="s">
        <v>476</v>
      </c>
    </row>
    <row r="131" spans="1:6" ht="315" x14ac:dyDescent="0.25">
      <c r="A131" s="2" t="s">
        <v>487</v>
      </c>
      <c r="B131" s="2" t="s">
        <v>492</v>
      </c>
      <c r="C131" s="2" t="s">
        <v>493</v>
      </c>
      <c r="D131" s="2" t="s">
        <v>494</v>
      </c>
      <c r="E131" s="2" t="s">
        <v>490</v>
      </c>
      <c r="F131" s="2" t="s">
        <v>491</v>
      </c>
    </row>
    <row r="132" spans="1:6" ht="210" x14ac:dyDescent="0.25">
      <c r="A132" s="2" t="s">
        <v>383</v>
      </c>
      <c r="B132" s="2" t="s">
        <v>392</v>
      </c>
      <c r="C132" s="2" t="s">
        <v>393</v>
      </c>
      <c r="D132" s="2" t="s">
        <v>394</v>
      </c>
      <c r="E132" s="2" t="s">
        <v>387</v>
      </c>
      <c r="F132" s="2" t="s">
        <v>388</v>
      </c>
    </row>
    <row r="133" spans="1:6" ht="240" x14ac:dyDescent="0.25">
      <c r="A133" s="2" t="s">
        <v>229</v>
      </c>
      <c r="B133" s="2" t="s">
        <v>248</v>
      </c>
      <c r="C133" s="2" t="s">
        <v>249</v>
      </c>
      <c r="D133" s="2" t="s">
        <v>250</v>
      </c>
      <c r="E133" s="2" t="s">
        <v>233</v>
      </c>
      <c r="F133" s="2" t="s">
        <v>234</v>
      </c>
    </row>
    <row r="134" spans="1:6" ht="120" x14ac:dyDescent="0.25">
      <c r="A134" s="2" t="s">
        <v>520</v>
      </c>
      <c r="B134" s="2" t="s">
        <v>521</v>
      </c>
      <c r="C134" s="2" t="s">
        <v>518</v>
      </c>
      <c r="D134" s="2" t="s">
        <v>300</v>
      </c>
      <c r="E134" s="2" t="s">
        <v>522</v>
      </c>
      <c r="F134" s="2" t="s">
        <v>523</v>
      </c>
    </row>
    <row r="135" spans="1:6" ht="210" x14ac:dyDescent="0.25">
      <c r="A135" s="2" t="s">
        <v>80</v>
      </c>
      <c r="B135" s="2" t="s">
        <v>81</v>
      </c>
      <c r="C135" s="2" t="s">
        <v>82</v>
      </c>
      <c r="D135" s="2" t="s">
        <v>83</v>
      </c>
      <c r="E135" s="2" t="s">
        <v>84</v>
      </c>
      <c r="F135" s="2" t="s">
        <v>85</v>
      </c>
    </row>
    <row r="136" spans="1:6" ht="210" x14ac:dyDescent="0.25">
      <c r="A136" s="2" t="s">
        <v>820</v>
      </c>
      <c r="B136" s="2" t="s">
        <v>844</v>
      </c>
      <c r="C136" s="2" t="s">
        <v>845</v>
      </c>
      <c r="D136" s="2" t="s">
        <v>194</v>
      </c>
      <c r="E136" s="2" t="s">
        <v>820</v>
      </c>
      <c r="F136" s="2" t="s">
        <v>824</v>
      </c>
    </row>
    <row r="137" spans="1:6" ht="150" x14ac:dyDescent="0.25">
      <c r="A137" s="2" t="s">
        <v>611</v>
      </c>
      <c r="B137" s="2" t="s">
        <v>620</v>
      </c>
      <c r="C137" s="2" t="s">
        <v>621</v>
      </c>
      <c r="D137" s="2" t="s">
        <v>622</v>
      </c>
      <c r="E137" s="2" t="s">
        <v>615</v>
      </c>
      <c r="F137" s="2" t="s">
        <v>616</v>
      </c>
    </row>
    <row r="138" spans="1:6" ht="150" x14ac:dyDescent="0.25">
      <c r="A138" s="2" t="s">
        <v>758</v>
      </c>
      <c r="B138" s="2" t="s">
        <v>759</v>
      </c>
      <c r="C138" s="2" t="s">
        <v>760</v>
      </c>
      <c r="D138" s="2" t="s">
        <v>761</v>
      </c>
      <c r="E138" s="2" t="s">
        <v>762</v>
      </c>
      <c r="F138" s="2" t="s">
        <v>763</v>
      </c>
    </row>
    <row r="139" spans="1:6" ht="165" x14ac:dyDescent="0.25">
      <c r="A139" s="2" t="s">
        <v>575</v>
      </c>
      <c r="B139" s="2" t="s">
        <v>581</v>
      </c>
      <c r="C139" s="2" t="s">
        <v>577</v>
      </c>
      <c r="D139" s="2" t="s">
        <v>537</v>
      </c>
      <c r="E139" s="2" t="s">
        <v>550</v>
      </c>
      <c r="F139" s="2" t="s">
        <v>575</v>
      </c>
    </row>
    <row r="140" spans="1:6" ht="285" x14ac:dyDescent="0.25">
      <c r="A140" s="2" t="s">
        <v>316</v>
      </c>
      <c r="B140" s="2" t="s">
        <v>317</v>
      </c>
      <c r="C140" s="2" t="s">
        <v>318</v>
      </c>
      <c r="D140" s="2" t="s">
        <v>319</v>
      </c>
      <c r="E140" s="2" t="s">
        <v>320</v>
      </c>
      <c r="F140" s="2" t="s">
        <v>321</v>
      </c>
    </row>
    <row r="141" spans="1:6" ht="240" x14ac:dyDescent="0.25">
      <c r="A141" s="2" t="s">
        <v>229</v>
      </c>
      <c r="B141" s="2" t="s">
        <v>254</v>
      </c>
      <c r="C141" s="2" t="s">
        <v>255</v>
      </c>
      <c r="D141" s="2" t="s">
        <v>256</v>
      </c>
      <c r="E141" s="2" t="s">
        <v>233</v>
      </c>
      <c r="F141" s="2" t="s">
        <v>234</v>
      </c>
    </row>
    <row r="142" spans="1:6" ht="210" x14ac:dyDescent="0.25">
      <c r="A142" s="2" t="s">
        <v>664</v>
      </c>
      <c r="B142" s="2" t="s">
        <v>671</v>
      </c>
      <c r="C142" s="2" t="s">
        <v>672</v>
      </c>
      <c r="D142" s="2" t="s">
        <v>673</v>
      </c>
      <c r="E142" s="2" t="s">
        <v>664</v>
      </c>
      <c r="F142" s="2" t="s">
        <v>667</v>
      </c>
    </row>
    <row r="143" spans="1:6" ht="150" x14ac:dyDescent="0.25">
      <c r="A143" s="2" t="s">
        <v>297</v>
      </c>
      <c r="B143" s="2" t="s">
        <v>308</v>
      </c>
      <c r="C143" s="2" t="s">
        <v>309</v>
      </c>
      <c r="D143" s="2" t="s">
        <v>300</v>
      </c>
      <c r="E143" s="2" t="s">
        <v>301</v>
      </c>
      <c r="F143" s="2" t="s">
        <v>302</v>
      </c>
    </row>
    <row r="144" spans="1:6" ht="165" x14ac:dyDescent="0.25">
      <c r="A144" s="2" t="s">
        <v>575</v>
      </c>
      <c r="B144" s="2" t="s">
        <v>580</v>
      </c>
      <c r="C144" s="2" t="s">
        <v>577</v>
      </c>
      <c r="D144" s="2" t="s">
        <v>537</v>
      </c>
      <c r="E144" s="2" t="s">
        <v>550</v>
      </c>
      <c r="F144" s="2" t="s">
        <v>575</v>
      </c>
    </row>
    <row r="145" spans="1:6" ht="165" x14ac:dyDescent="0.25">
      <c r="A145" s="2" t="s">
        <v>575</v>
      </c>
      <c r="B145" s="2" t="s">
        <v>576</v>
      </c>
      <c r="C145" s="2" t="s">
        <v>577</v>
      </c>
      <c r="D145" s="2" t="s">
        <v>537</v>
      </c>
      <c r="E145" s="2" t="s">
        <v>550</v>
      </c>
      <c r="F145" s="2" t="s">
        <v>575</v>
      </c>
    </row>
    <row r="146" spans="1:6" ht="165" x14ac:dyDescent="0.25">
      <c r="A146" s="2" t="s">
        <v>575</v>
      </c>
      <c r="B146" s="2" t="s">
        <v>578</v>
      </c>
      <c r="C146" s="2" t="s">
        <v>577</v>
      </c>
      <c r="D146" s="2" t="s">
        <v>537</v>
      </c>
      <c r="E146" s="2" t="s">
        <v>550</v>
      </c>
      <c r="F146" s="2" t="s">
        <v>575</v>
      </c>
    </row>
    <row r="147" spans="1:6" ht="165" x14ac:dyDescent="0.25">
      <c r="A147" s="2" t="s">
        <v>575</v>
      </c>
      <c r="B147" s="2" t="s">
        <v>582</v>
      </c>
      <c r="C147" s="2" t="s">
        <v>577</v>
      </c>
      <c r="D147" s="2" t="s">
        <v>537</v>
      </c>
      <c r="E147" s="2" t="s">
        <v>550</v>
      </c>
      <c r="F147" s="2" t="s">
        <v>575</v>
      </c>
    </row>
    <row r="148" spans="1:6" ht="165" x14ac:dyDescent="0.25">
      <c r="A148" s="2" t="s">
        <v>575</v>
      </c>
      <c r="B148" s="2" t="s">
        <v>579</v>
      </c>
      <c r="C148" s="2" t="s">
        <v>577</v>
      </c>
      <c r="D148" s="2" t="s">
        <v>537</v>
      </c>
      <c r="E148" s="2" t="s">
        <v>550</v>
      </c>
      <c r="F148" s="2" t="s">
        <v>575</v>
      </c>
    </row>
    <row r="149" spans="1:6" ht="135" x14ac:dyDescent="0.25">
      <c r="A149" s="2" t="s">
        <v>741</v>
      </c>
      <c r="B149" s="2" t="s">
        <v>755</v>
      </c>
      <c r="C149" s="2" t="s">
        <v>756</v>
      </c>
      <c r="D149" s="2" t="s">
        <v>757</v>
      </c>
      <c r="E149" s="2" t="s">
        <v>744</v>
      </c>
      <c r="F149" s="2" t="s">
        <v>745</v>
      </c>
    </row>
    <row r="150" spans="1:6" ht="195" x14ac:dyDescent="0.25">
      <c r="A150" s="2" t="s">
        <v>611</v>
      </c>
      <c r="B150" s="2" t="s">
        <v>630</v>
      </c>
      <c r="C150" s="2" t="s">
        <v>239</v>
      </c>
      <c r="D150" s="2" t="s">
        <v>631</v>
      </c>
      <c r="E150" s="2" t="s">
        <v>615</v>
      </c>
      <c r="F150" s="2" t="s">
        <v>616</v>
      </c>
    </row>
    <row r="151" spans="1:6" ht="180" x14ac:dyDescent="0.25">
      <c r="A151" s="2" t="s">
        <v>720</v>
      </c>
      <c r="B151" s="2" t="s">
        <v>721</v>
      </c>
      <c r="C151" s="2" t="s">
        <v>722</v>
      </c>
      <c r="D151" s="2" t="s">
        <v>723</v>
      </c>
      <c r="E151" s="2" t="s">
        <v>720</v>
      </c>
      <c r="F151" s="2" t="s">
        <v>724</v>
      </c>
    </row>
    <row r="152" spans="1:6" ht="195" x14ac:dyDescent="0.25">
      <c r="A152" s="2" t="s">
        <v>583</v>
      </c>
      <c r="B152" s="2" t="s">
        <v>602</v>
      </c>
      <c r="C152" s="2" t="s">
        <v>603</v>
      </c>
      <c r="D152" s="2" t="s">
        <v>604</v>
      </c>
      <c r="E152" s="2" t="s">
        <v>586</v>
      </c>
      <c r="F152" s="2" t="s">
        <v>587</v>
      </c>
    </row>
    <row r="153" spans="1:6" ht="225" x14ac:dyDescent="0.25">
      <c r="A153" s="2" t="s">
        <v>534</v>
      </c>
      <c r="B153" s="2" t="s">
        <v>540</v>
      </c>
      <c r="C153" s="2" t="s">
        <v>541</v>
      </c>
      <c r="D153" s="2" t="s">
        <v>542</v>
      </c>
      <c r="E153" s="2" t="s">
        <v>538</v>
      </c>
      <c r="F153" s="2" t="s">
        <v>539</v>
      </c>
    </row>
    <row r="154" spans="1:6" ht="195" x14ac:dyDescent="0.25">
      <c r="A154" s="2" t="s">
        <v>259</v>
      </c>
      <c r="B154" s="2" t="s">
        <v>265</v>
      </c>
      <c r="C154" s="2" t="s">
        <v>266</v>
      </c>
      <c r="D154" s="2" t="s">
        <v>267</v>
      </c>
      <c r="E154" s="2" t="s">
        <v>263</v>
      </c>
      <c r="F154" s="2" t="s">
        <v>264</v>
      </c>
    </row>
    <row r="155" spans="1:6" ht="240" x14ac:dyDescent="0.25">
      <c r="A155" s="2" t="s">
        <v>142</v>
      </c>
      <c r="B155" s="2" t="s">
        <v>143</v>
      </c>
      <c r="C155" s="2" t="s">
        <v>144</v>
      </c>
      <c r="D155" s="2" t="s">
        <v>145</v>
      </c>
      <c r="E155" s="2" t="s">
        <v>146</v>
      </c>
      <c r="F155" s="2" t="s">
        <v>147</v>
      </c>
    </row>
    <row r="156" spans="1:6" ht="210" x14ac:dyDescent="0.25">
      <c r="A156" s="2" t="s">
        <v>758</v>
      </c>
      <c r="B156" s="2" t="s">
        <v>767</v>
      </c>
      <c r="C156" s="2" t="s">
        <v>768</v>
      </c>
      <c r="D156" s="2" t="s">
        <v>769</v>
      </c>
      <c r="E156" s="2" t="s">
        <v>762</v>
      </c>
      <c r="F156" s="2" t="s">
        <v>763</v>
      </c>
    </row>
    <row r="157" spans="1:6" ht="210" x14ac:dyDescent="0.25">
      <c r="A157" s="2" t="s">
        <v>196</v>
      </c>
      <c r="B157" s="2" t="s">
        <v>220</v>
      </c>
      <c r="C157" s="2" t="s">
        <v>221</v>
      </c>
      <c r="D157" s="2" t="s">
        <v>222</v>
      </c>
      <c r="E157" s="2" t="s">
        <v>200</v>
      </c>
      <c r="F157" s="2" t="s">
        <v>201</v>
      </c>
    </row>
    <row r="158" spans="1:6" ht="255" x14ac:dyDescent="0.25">
      <c r="A158" s="2" t="s">
        <v>229</v>
      </c>
      <c r="B158" s="2" t="s">
        <v>245</v>
      </c>
      <c r="C158" s="2" t="s">
        <v>246</v>
      </c>
      <c r="D158" s="2" t="s">
        <v>247</v>
      </c>
      <c r="E158" s="2" t="s">
        <v>233</v>
      </c>
      <c r="F158" s="2" t="s">
        <v>234</v>
      </c>
    </row>
    <row r="159" spans="1:6" ht="150" x14ac:dyDescent="0.25">
      <c r="A159" s="2" t="s">
        <v>758</v>
      </c>
      <c r="B159" s="2" t="s">
        <v>776</v>
      </c>
      <c r="C159" s="2" t="s">
        <v>777</v>
      </c>
      <c r="D159" s="2" t="s">
        <v>778</v>
      </c>
      <c r="E159" s="2" t="s">
        <v>762</v>
      </c>
      <c r="F159" s="2" t="s">
        <v>763</v>
      </c>
    </row>
    <row r="160" spans="1:6" ht="210" x14ac:dyDescent="0.25">
      <c r="A160" s="2" t="s">
        <v>782</v>
      </c>
      <c r="B160" s="2" t="s">
        <v>790</v>
      </c>
      <c r="C160" s="2" t="s">
        <v>791</v>
      </c>
      <c r="D160" s="2" t="s">
        <v>789</v>
      </c>
      <c r="E160" s="2" t="s">
        <v>785</v>
      </c>
      <c r="F160" s="2" t="s">
        <v>786</v>
      </c>
    </row>
    <row r="161" spans="1:6" ht="270" x14ac:dyDescent="0.25">
      <c r="A161" s="2" t="s">
        <v>62</v>
      </c>
      <c r="B161" s="2" t="s">
        <v>74</v>
      </c>
      <c r="C161" s="2" t="s">
        <v>75</v>
      </c>
      <c r="D161" s="2" t="s">
        <v>76</v>
      </c>
      <c r="E161" s="2" t="s">
        <v>66</v>
      </c>
      <c r="F161" s="2" t="s">
        <v>67</v>
      </c>
    </row>
    <row r="162" spans="1:6" ht="210" x14ac:dyDescent="0.25">
      <c r="A162" s="2" t="s">
        <v>820</v>
      </c>
      <c r="B162" s="2" t="s">
        <v>836</v>
      </c>
      <c r="C162" s="2" t="s">
        <v>837</v>
      </c>
      <c r="D162" s="2" t="s">
        <v>838</v>
      </c>
      <c r="E162" s="2" t="s">
        <v>820</v>
      </c>
      <c r="F162" s="2" t="s">
        <v>824</v>
      </c>
    </row>
    <row r="163" spans="1:6" ht="150" x14ac:dyDescent="0.25">
      <c r="A163" s="2" t="s">
        <v>471</v>
      </c>
      <c r="B163" s="2" t="s">
        <v>477</v>
      </c>
      <c r="C163" s="2" t="s">
        <v>478</v>
      </c>
      <c r="D163" s="2" t="s">
        <v>479</v>
      </c>
      <c r="E163" s="2" t="s">
        <v>475</v>
      </c>
      <c r="F163" s="2" t="s">
        <v>476</v>
      </c>
    </row>
    <row r="164" spans="1:6" ht="255" x14ac:dyDescent="0.25">
      <c r="A164" s="2" t="s">
        <v>340</v>
      </c>
      <c r="B164" s="2" t="s">
        <v>349</v>
      </c>
      <c r="C164" s="2" t="s">
        <v>350</v>
      </c>
      <c r="D164" s="2" t="s">
        <v>351</v>
      </c>
      <c r="E164" s="2" t="s">
        <v>344</v>
      </c>
      <c r="F164" s="2" t="s">
        <v>345</v>
      </c>
    </row>
    <row r="165" spans="1:6" ht="210" x14ac:dyDescent="0.25">
      <c r="A165" s="2" t="s">
        <v>196</v>
      </c>
      <c r="B165" s="2" t="s">
        <v>205</v>
      </c>
      <c r="C165" s="2" t="s">
        <v>206</v>
      </c>
      <c r="D165" s="2" t="s">
        <v>207</v>
      </c>
      <c r="E165" s="2" t="s">
        <v>200</v>
      </c>
      <c r="F165" s="2" t="s">
        <v>201</v>
      </c>
    </row>
    <row r="166" spans="1:6" ht="195" x14ac:dyDescent="0.25">
      <c r="A166" s="2" t="s">
        <v>651</v>
      </c>
      <c r="B166" s="2" t="s">
        <v>662</v>
      </c>
      <c r="C166" s="2" t="s">
        <v>653</v>
      </c>
      <c r="D166" s="2" t="s">
        <v>663</v>
      </c>
      <c r="E166" s="2" t="s">
        <v>655</v>
      </c>
      <c r="F166" s="2" t="s">
        <v>656</v>
      </c>
    </row>
    <row r="167" spans="1:6" ht="150" x14ac:dyDescent="0.25">
      <c r="A167" s="2" t="s">
        <v>720</v>
      </c>
      <c r="B167" s="2" t="s">
        <v>731</v>
      </c>
      <c r="C167" s="2" t="s">
        <v>732</v>
      </c>
      <c r="D167" s="2" t="s">
        <v>733</v>
      </c>
      <c r="E167" s="2" t="s">
        <v>720</v>
      </c>
      <c r="F167" s="2" t="s">
        <v>724</v>
      </c>
    </row>
    <row r="168" spans="1:6" ht="210" x14ac:dyDescent="0.25">
      <c r="A168" s="2" t="s">
        <v>664</v>
      </c>
      <c r="B168" s="2" t="s">
        <v>684</v>
      </c>
      <c r="C168" s="2" t="s">
        <v>685</v>
      </c>
      <c r="D168" s="2" t="s">
        <v>686</v>
      </c>
      <c r="E168" s="2" t="s">
        <v>664</v>
      </c>
      <c r="F168" s="2" t="s">
        <v>667</v>
      </c>
    </row>
    <row r="169" spans="1:6" ht="240" x14ac:dyDescent="0.25">
      <c r="A169" s="2" t="s">
        <v>127</v>
      </c>
      <c r="B169" s="2" t="s">
        <v>136</v>
      </c>
      <c r="C169" s="2" t="s">
        <v>137</v>
      </c>
      <c r="D169" s="2" t="s">
        <v>138</v>
      </c>
      <c r="E169" s="2" t="s">
        <v>131</v>
      </c>
      <c r="F169" s="2" t="s">
        <v>132</v>
      </c>
    </row>
    <row r="170" spans="1:6" ht="150" x14ac:dyDescent="0.25">
      <c r="A170" s="2" t="s">
        <v>611</v>
      </c>
      <c r="B170" s="2" t="s">
        <v>617</v>
      </c>
      <c r="C170" s="2" t="s">
        <v>618</v>
      </c>
      <c r="D170" s="2" t="s">
        <v>619</v>
      </c>
      <c r="E170" s="2" t="s">
        <v>615</v>
      </c>
      <c r="F170" s="2" t="s">
        <v>616</v>
      </c>
    </row>
    <row r="171" spans="1:6" ht="240" x14ac:dyDescent="0.25">
      <c r="A171" s="2" t="s">
        <v>692</v>
      </c>
      <c r="B171" s="2" t="s">
        <v>700</v>
      </c>
      <c r="C171" s="2" t="s">
        <v>701</v>
      </c>
      <c r="D171" s="2" t="s">
        <v>702</v>
      </c>
      <c r="E171" s="2" t="s">
        <v>692</v>
      </c>
      <c r="F171" s="2" t="s">
        <v>696</v>
      </c>
    </row>
    <row r="172" spans="1:6" ht="255" x14ac:dyDescent="0.25">
      <c r="A172" s="2" t="s">
        <v>340</v>
      </c>
      <c r="B172" s="2" t="s">
        <v>353</v>
      </c>
      <c r="C172" s="2" t="s">
        <v>354</v>
      </c>
      <c r="D172" s="2" t="s">
        <v>355</v>
      </c>
      <c r="E172" s="2" t="s">
        <v>344</v>
      </c>
      <c r="F172" s="2" t="s">
        <v>345</v>
      </c>
    </row>
    <row r="173" spans="1:6" ht="210" x14ac:dyDescent="0.25">
      <c r="A173" s="2" t="s">
        <v>196</v>
      </c>
      <c r="B173" s="2" t="s">
        <v>208</v>
      </c>
      <c r="C173" s="2" t="s">
        <v>209</v>
      </c>
      <c r="D173" s="2" t="s">
        <v>210</v>
      </c>
      <c r="E173" s="2" t="s">
        <v>200</v>
      </c>
      <c r="F173" s="2" t="s">
        <v>201</v>
      </c>
    </row>
    <row r="174" spans="1:6" ht="270" x14ac:dyDescent="0.25">
      <c r="A174" s="2" t="s">
        <v>184</v>
      </c>
      <c r="B174" s="2" t="s">
        <v>190</v>
      </c>
      <c r="C174" s="2" t="s">
        <v>191</v>
      </c>
      <c r="D174" s="2" t="s">
        <v>192</v>
      </c>
      <c r="E174" s="2" t="s">
        <v>188</v>
      </c>
      <c r="F174" s="2" t="s">
        <v>189</v>
      </c>
    </row>
    <row r="175" spans="1:6" ht="210" x14ac:dyDescent="0.25">
      <c r="A175" s="2" t="s">
        <v>362</v>
      </c>
      <c r="B175" s="2" t="s">
        <v>371</v>
      </c>
      <c r="C175" s="2" t="s">
        <v>372</v>
      </c>
      <c r="D175" s="2" t="s">
        <v>373</v>
      </c>
      <c r="E175" s="2" t="s">
        <v>366</v>
      </c>
      <c r="F175" s="2" t="s">
        <v>367</v>
      </c>
    </row>
    <row r="176" spans="1:6" ht="165" x14ac:dyDescent="0.25">
      <c r="A176" s="2" t="s">
        <v>279</v>
      </c>
      <c r="B176" s="2" t="s">
        <v>285</v>
      </c>
      <c r="C176" s="2" t="s">
        <v>286</v>
      </c>
      <c r="D176" s="2" t="s">
        <v>287</v>
      </c>
      <c r="E176" s="2" t="s">
        <v>283</v>
      </c>
      <c r="F176" s="2" t="s">
        <v>284</v>
      </c>
    </row>
    <row r="177" spans="1:6" ht="165" x14ac:dyDescent="0.25">
      <c r="A177" s="2" t="s">
        <v>38</v>
      </c>
      <c r="B177" s="2" t="s">
        <v>59</v>
      </c>
      <c r="C177" s="2" t="s">
        <v>60</v>
      </c>
      <c r="D177" s="2" t="s">
        <v>61</v>
      </c>
      <c r="E177" s="2" t="s">
        <v>42</v>
      </c>
      <c r="F177" s="2" t="s">
        <v>43</v>
      </c>
    </row>
    <row r="178" spans="1:6" ht="255" x14ac:dyDescent="0.25">
      <c r="A178" s="2" t="s">
        <v>196</v>
      </c>
      <c r="B178" s="2" t="s">
        <v>197</v>
      </c>
      <c r="C178" s="2" t="s">
        <v>198</v>
      </c>
      <c r="D178" s="2" t="s">
        <v>199</v>
      </c>
      <c r="E178" s="2" t="s">
        <v>200</v>
      </c>
      <c r="F178" s="2" t="s">
        <v>201</v>
      </c>
    </row>
    <row r="179" spans="1:6" ht="210" x14ac:dyDescent="0.25">
      <c r="A179" s="2" t="s">
        <v>14</v>
      </c>
      <c r="B179" s="2" t="s">
        <v>23</v>
      </c>
      <c r="C179" s="2" t="s">
        <v>24</v>
      </c>
      <c r="D179" s="2" t="s">
        <v>25</v>
      </c>
      <c r="E179" s="2" t="s">
        <v>18</v>
      </c>
      <c r="F179" s="2" t="s">
        <v>19</v>
      </c>
    </row>
    <row r="180" spans="1:6" ht="270" x14ac:dyDescent="0.25">
      <c r="A180" s="2" t="s">
        <v>62</v>
      </c>
      <c r="B180" s="2" t="s">
        <v>77</v>
      </c>
      <c r="C180" s="2" t="s">
        <v>78</v>
      </c>
      <c r="D180" s="2" t="s">
        <v>79</v>
      </c>
      <c r="E180" s="2" t="s">
        <v>66</v>
      </c>
      <c r="F180" s="2" t="s">
        <v>67</v>
      </c>
    </row>
    <row r="181" spans="1:6" ht="240" x14ac:dyDescent="0.25">
      <c r="A181" s="2" t="s">
        <v>692</v>
      </c>
      <c r="B181" s="2" t="s">
        <v>707</v>
      </c>
      <c r="C181" s="2" t="s">
        <v>708</v>
      </c>
      <c r="D181" s="2" t="s">
        <v>709</v>
      </c>
      <c r="E181" s="2" t="s">
        <v>692</v>
      </c>
      <c r="F181" s="2" t="s">
        <v>696</v>
      </c>
    </row>
    <row r="182" spans="1:6" ht="225" x14ac:dyDescent="0.25">
      <c r="A182" s="2" t="s">
        <v>534</v>
      </c>
      <c r="B182" s="2" t="s">
        <v>543</v>
      </c>
      <c r="C182" s="2" t="s">
        <v>544</v>
      </c>
      <c r="D182" s="2" t="s">
        <v>545</v>
      </c>
      <c r="E182" s="2" t="s">
        <v>538</v>
      </c>
      <c r="F182" s="2" t="s">
        <v>539</v>
      </c>
    </row>
    <row r="183" spans="1:6" ht="165" x14ac:dyDescent="0.25">
      <c r="A183" s="2" t="s">
        <v>611</v>
      </c>
      <c r="B183" s="2" t="s">
        <v>612</v>
      </c>
      <c r="C183" s="2" t="s">
        <v>613</v>
      </c>
      <c r="D183" s="2" t="s">
        <v>614</v>
      </c>
      <c r="E183" s="2" t="s">
        <v>615</v>
      </c>
      <c r="F183" s="2" t="s">
        <v>616</v>
      </c>
    </row>
    <row r="184" spans="1:6" ht="210" x14ac:dyDescent="0.25">
      <c r="A184" s="2" t="s">
        <v>782</v>
      </c>
      <c r="B184" s="2" t="s">
        <v>787</v>
      </c>
      <c r="C184" s="2" t="s">
        <v>788</v>
      </c>
      <c r="D184" s="2" t="s">
        <v>789</v>
      </c>
      <c r="E184" s="2" t="s">
        <v>785</v>
      </c>
      <c r="F184" s="2" t="s">
        <v>786</v>
      </c>
    </row>
    <row r="185" spans="1:6" ht="195" x14ac:dyDescent="0.25">
      <c r="A185" s="2" t="s">
        <v>374</v>
      </c>
      <c r="B185" s="2" t="s">
        <v>375</v>
      </c>
      <c r="C185" s="2" t="s">
        <v>376</v>
      </c>
      <c r="D185" s="2" t="s">
        <v>377</v>
      </c>
      <c r="E185" s="2" t="s">
        <v>378</v>
      </c>
      <c r="F185" s="2" t="s">
        <v>379</v>
      </c>
    </row>
    <row r="186" spans="1:6" ht="165" x14ac:dyDescent="0.25">
      <c r="A186" s="2" t="s">
        <v>499</v>
      </c>
      <c r="B186" s="2" t="s">
        <v>508</v>
      </c>
      <c r="C186" s="2" t="s">
        <v>509</v>
      </c>
      <c r="D186" s="2" t="s">
        <v>391</v>
      </c>
      <c r="E186" s="2" t="s">
        <v>502</v>
      </c>
      <c r="F186" s="2" t="s">
        <v>503</v>
      </c>
    </row>
    <row r="187" spans="1:6" ht="180" x14ac:dyDescent="0.25">
      <c r="A187" s="2" t="s">
        <v>457</v>
      </c>
      <c r="B187" s="2" t="s">
        <v>468</v>
      </c>
      <c r="C187" s="2" t="s">
        <v>469</v>
      </c>
      <c r="D187" s="2" t="s">
        <v>470</v>
      </c>
      <c r="E187" s="2" t="s">
        <v>460</v>
      </c>
      <c r="F187" s="2" t="s">
        <v>458</v>
      </c>
    </row>
    <row r="188" spans="1:6" ht="210" x14ac:dyDescent="0.25">
      <c r="A188" s="2" t="s">
        <v>782</v>
      </c>
      <c r="B188" s="2" t="s">
        <v>792</v>
      </c>
      <c r="C188" s="2" t="s">
        <v>793</v>
      </c>
      <c r="D188" s="2" t="s">
        <v>679</v>
      </c>
      <c r="E188" s="2" t="s">
        <v>785</v>
      </c>
      <c r="F188" s="2" t="s">
        <v>786</v>
      </c>
    </row>
    <row r="189" spans="1:6" ht="210" x14ac:dyDescent="0.25">
      <c r="A189" s="2" t="s">
        <v>443</v>
      </c>
      <c r="B189" s="2" t="s">
        <v>452</v>
      </c>
      <c r="C189" s="2" t="s">
        <v>453</v>
      </c>
      <c r="D189" s="2" t="s">
        <v>300</v>
      </c>
      <c r="E189" s="2" t="s">
        <v>447</v>
      </c>
      <c r="F189" s="2" t="s">
        <v>448</v>
      </c>
    </row>
    <row r="190" spans="1:6" ht="210" x14ac:dyDescent="0.25">
      <c r="A190" s="2" t="s">
        <v>14</v>
      </c>
      <c r="B190" s="2" t="s">
        <v>26</v>
      </c>
      <c r="C190" s="2" t="s">
        <v>27</v>
      </c>
      <c r="D190" s="2" t="s">
        <v>28</v>
      </c>
      <c r="E190" s="2" t="s">
        <v>18</v>
      </c>
      <c r="F190" s="2" t="s">
        <v>19</v>
      </c>
    </row>
    <row r="191" spans="1:6" ht="180" x14ac:dyDescent="0.25">
      <c r="A191" s="2" t="s">
        <v>38</v>
      </c>
      <c r="B191" s="2" t="s">
        <v>50</v>
      </c>
      <c r="C191" s="2" t="s">
        <v>51</v>
      </c>
      <c r="D191" s="2" t="s">
        <v>52</v>
      </c>
      <c r="E191" s="2" t="s">
        <v>42</v>
      </c>
      <c r="F191" s="2" t="s">
        <v>43</v>
      </c>
    </row>
    <row r="192" spans="1:6" ht="165" x14ac:dyDescent="0.25">
      <c r="A192" s="2" t="s">
        <v>316</v>
      </c>
      <c r="B192" s="2" t="s">
        <v>326</v>
      </c>
      <c r="C192" s="2" t="s">
        <v>327</v>
      </c>
      <c r="D192" s="2" t="s">
        <v>328</v>
      </c>
      <c r="E192" s="2" t="s">
        <v>320</v>
      </c>
      <c r="F192" s="2" t="s">
        <v>321</v>
      </c>
    </row>
    <row r="193" spans="1:6" ht="255" x14ac:dyDescent="0.25">
      <c r="A193" s="2" t="s">
        <v>340</v>
      </c>
      <c r="B193" s="2" t="s">
        <v>326</v>
      </c>
      <c r="C193" s="2" t="s">
        <v>352</v>
      </c>
      <c r="D193" s="2" t="s">
        <v>274</v>
      </c>
      <c r="E193" s="2" t="s">
        <v>344</v>
      </c>
      <c r="F193" s="2" t="s">
        <v>345</v>
      </c>
    </row>
    <row r="194" spans="1:6" ht="165" x14ac:dyDescent="0.25">
      <c r="A194" s="2" t="s">
        <v>38</v>
      </c>
      <c r="B194" s="2" t="s">
        <v>39</v>
      </c>
      <c r="C194" s="2" t="s">
        <v>40</v>
      </c>
      <c r="D194" s="2" t="s">
        <v>41</v>
      </c>
      <c r="E194" s="2" t="s">
        <v>42</v>
      </c>
      <c r="F194" s="2" t="s">
        <v>43</v>
      </c>
    </row>
    <row r="195" spans="1:6" ht="270" x14ac:dyDescent="0.25">
      <c r="A195" s="2" t="s">
        <v>329</v>
      </c>
      <c r="B195" s="2" t="s">
        <v>337</v>
      </c>
      <c r="C195" s="2" t="s">
        <v>338</v>
      </c>
      <c r="D195" s="2" t="s">
        <v>339</v>
      </c>
      <c r="E195" s="2" t="s">
        <v>333</v>
      </c>
      <c r="F195" s="2" t="s">
        <v>334</v>
      </c>
    </row>
    <row r="196" spans="1:6" ht="300" x14ac:dyDescent="0.25">
      <c r="A196" s="2" t="s">
        <v>398</v>
      </c>
      <c r="B196" s="2" t="s">
        <v>403</v>
      </c>
      <c r="C196" s="2" t="s">
        <v>404</v>
      </c>
      <c r="D196" s="2" t="s">
        <v>328</v>
      </c>
      <c r="E196" s="2" t="s">
        <v>401</v>
      </c>
      <c r="F196" s="2" t="s">
        <v>402</v>
      </c>
    </row>
    <row r="197" spans="1:6" ht="225" x14ac:dyDescent="0.25">
      <c r="A197" s="2" t="s">
        <v>419</v>
      </c>
      <c r="B197" s="2" t="s">
        <v>420</v>
      </c>
      <c r="C197" s="2" t="s">
        <v>421</v>
      </c>
      <c r="D197" s="2" t="s">
        <v>422</v>
      </c>
      <c r="E197" s="2" t="s">
        <v>423</v>
      </c>
      <c r="F197" s="2" t="s">
        <v>424</v>
      </c>
    </row>
    <row r="198" spans="1:6" ht="210" x14ac:dyDescent="0.25">
      <c r="A198" s="2" t="s">
        <v>14</v>
      </c>
      <c r="B198" s="2" t="s">
        <v>32</v>
      </c>
      <c r="C198" s="2" t="s">
        <v>33</v>
      </c>
      <c r="D198" s="2" t="s">
        <v>34</v>
      </c>
      <c r="E198" s="2" t="s">
        <v>18</v>
      </c>
      <c r="F198" s="2" t="s">
        <v>19</v>
      </c>
    </row>
    <row r="199" spans="1:6" ht="150" x14ac:dyDescent="0.25">
      <c r="A199" s="2" t="s">
        <v>169</v>
      </c>
      <c r="B199" s="2" t="s">
        <v>170</v>
      </c>
      <c r="C199" s="2" t="s">
        <v>171</v>
      </c>
      <c r="D199" s="2" t="s">
        <v>172</v>
      </c>
      <c r="E199" s="2" t="s">
        <v>173</v>
      </c>
      <c r="F199" s="2" t="s">
        <v>174</v>
      </c>
    </row>
    <row r="200" spans="1:6" ht="210" x14ac:dyDescent="0.25">
      <c r="A200" s="2" t="s">
        <v>820</v>
      </c>
      <c r="B200" s="2" t="s">
        <v>828</v>
      </c>
      <c r="C200" s="2" t="s">
        <v>469</v>
      </c>
      <c r="D200" s="2" t="s">
        <v>829</v>
      </c>
      <c r="E200" s="2" t="s">
        <v>820</v>
      </c>
      <c r="F200" s="2" t="s">
        <v>824</v>
      </c>
    </row>
    <row r="201" spans="1:6" ht="210" x14ac:dyDescent="0.25">
      <c r="A201" s="2" t="s">
        <v>499</v>
      </c>
      <c r="B201" s="2" t="s">
        <v>506</v>
      </c>
      <c r="C201" s="2" t="s">
        <v>507</v>
      </c>
      <c r="D201" s="2" t="s">
        <v>391</v>
      </c>
      <c r="E201" s="2" t="s">
        <v>502</v>
      </c>
      <c r="F201" s="2" t="s">
        <v>503</v>
      </c>
    </row>
    <row r="202" spans="1:6" ht="300" x14ac:dyDescent="0.25">
      <c r="A202" s="2" t="s">
        <v>398</v>
      </c>
      <c r="B202" s="2" t="s">
        <v>399</v>
      </c>
      <c r="C202" s="2" t="s">
        <v>400</v>
      </c>
      <c r="D202" s="2" t="s">
        <v>270</v>
      </c>
      <c r="E202" s="2" t="s">
        <v>401</v>
      </c>
      <c r="F202" s="2" t="s">
        <v>402</v>
      </c>
    </row>
    <row r="203" spans="1:6" ht="270" x14ac:dyDescent="0.25">
      <c r="A203" s="2" t="s">
        <v>329</v>
      </c>
      <c r="B203" s="2" t="s">
        <v>330</v>
      </c>
      <c r="C203" s="2" t="s">
        <v>331</v>
      </c>
      <c r="D203" s="2" t="s">
        <v>332</v>
      </c>
      <c r="E203" s="2" t="s">
        <v>333</v>
      </c>
      <c r="F203" s="2" t="s">
        <v>334</v>
      </c>
    </row>
    <row r="204" spans="1:6" ht="210" x14ac:dyDescent="0.25">
      <c r="A204" s="2" t="s">
        <v>820</v>
      </c>
      <c r="B204" s="2" t="s">
        <v>833</v>
      </c>
      <c r="C204" s="2" t="s">
        <v>834</v>
      </c>
      <c r="D204" s="2" t="s">
        <v>835</v>
      </c>
      <c r="E204" s="2" t="s">
        <v>820</v>
      </c>
      <c r="F204" s="2" t="s">
        <v>824</v>
      </c>
    </row>
    <row r="205" spans="1:6" ht="150" x14ac:dyDescent="0.25">
      <c r="A205" s="2" t="s">
        <v>297</v>
      </c>
      <c r="B205" s="2" t="s">
        <v>298</v>
      </c>
      <c r="C205" s="2" t="s">
        <v>299</v>
      </c>
      <c r="D205" s="2" t="s">
        <v>300</v>
      </c>
      <c r="E205" s="2" t="s">
        <v>301</v>
      </c>
      <c r="F205" s="2" t="s">
        <v>302</v>
      </c>
    </row>
    <row r="206" spans="1:6" ht="165" x14ac:dyDescent="0.25">
      <c r="A206" s="2" t="s">
        <v>154</v>
      </c>
      <c r="B206" s="2" t="s">
        <v>163</v>
      </c>
      <c r="C206" s="2" t="s">
        <v>164</v>
      </c>
      <c r="D206" s="2" t="s">
        <v>165</v>
      </c>
      <c r="E206" s="2" t="s">
        <v>158</v>
      </c>
      <c r="F206" s="2" t="s">
        <v>159</v>
      </c>
    </row>
    <row r="207" spans="1:6" ht="300" x14ac:dyDescent="0.25">
      <c r="A207" s="2" t="s">
        <v>398</v>
      </c>
      <c r="B207" s="2" t="s">
        <v>410</v>
      </c>
      <c r="C207" s="2" t="s">
        <v>411</v>
      </c>
      <c r="D207" s="2" t="s">
        <v>270</v>
      </c>
      <c r="E207" s="2" t="s">
        <v>401</v>
      </c>
      <c r="F207" s="2" t="s">
        <v>402</v>
      </c>
    </row>
    <row r="208" spans="1:6" ht="315" x14ac:dyDescent="0.25">
      <c r="A208" s="2" t="s">
        <v>487</v>
      </c>
      <c r="B208" s="2" t="s">
        <v>488</v>
      </c>
      <c r="C208" s="2" t="s">
        <v>489</v>
      </c>
      <c r="D208" s="2" t="s">
        <v>270</v>
      </c>
      <c r="E208" s="2" t="s">
        <v>490</v>
      </c>
      <c r="F208" s="2" t="s">
        <v>491</v>
      </c>
    </row>
    <row r="209" spans="1:6" ht="315" x14ac:dyDescent="0.25">
      <c r="A209" s="2" t="s">
        <v>487</v>
      </c>
      <c r="B209" s="2" t="s">
        <v>495</v>
      </c>
      <c r="C209" s="2" t="s">
        <v>496</v>
      </c>
      <c r="D209" s="2" t="s">
        <v>270</v>
      </c>
      <c r="E209" s="2" t="s">
        <v>490</v>
      </c>
      <c r="F209" s="2" t="s">
        <v>491</v>
      </c>
    </row>
    <row r="210" spans="1:6" ht="315" x14ac:dyDescent="0.25">
      <c r="A210" s="2" t="s">
        <v>487</v>
      </c>
      <c r="B210" s="2" t="s">
        <v>497</v>
      </c>
      <c r="C210" s="2" t="s">
        <v>498</v>
      </c>
      <c r="D210" s="2" t="s">
        <v>409</v>
      </c>
      <c r="E210" s="2" t="s">
        <v>490</v>
      </c>
      <c r="F210" s="2" t="s">
        <v>491</v>
      </c>
    </row>
    <row r="211" spans="1:6" ht="180" x14ac:dyDescent="0.25">
      <c r="A211" s="2" t="s">
        <v>316</v>
      </c>
      <c r="B211" s="2" t="s">
        <v>322</v>
      </c>
      <c r="C211" s="2" t="s">
        <v>266</v>
      </c>
      <c r="D211" s="2" t="s">
        <v>267</v>
      </c>
      <c r="E211" s="2" t="s">
        <v>320</v>
      </c>
      <c r="F211" s="2" t="s">
        <v>321</v>
      </c>
    </row>
    <row r="212" spans="1:6" ht="120" x14ac:dyDescent="0.25">
      <c r="A212" s="2" t="s">
        <v>804</v>
      </c>
      <c r="B212" s="2" t="s">
        <v>805</v>
      </c>
      <c r="C212" s="2" t="s">
        <v>806</v>
      </c>
      <c r="D212" s="2" t="s">
        <v>25</v>
      </c>
      <c r="E212" s="2" t="s">
        <v>807</v>
      </c>
      <c r="F212" s="2" t="s">
        <v>808</v>
      </c>
    </row>
    <row r="213" spans="1:6" ht="135" x14ac:dyDescent="0.25">
      <c r="A213" s="2" t="s">
        <v>804</v>
      </c>
      <c r="B213" s="2" t="s">
        <v>812</v>
      </c>
      <c r="C213" s="2" t="s">
        <v>813</v>
      </c>
      <c r="D213" s="2" t="s">
        <v>814</v>
      </c>
      <c r="E213" s="2" t="s">
        <v>807</v>
      </c>
      <c r="F213" s="2" t="s">
        <v>808</v>
      </c>
    </row>
    <row r="214" spans="1:6" ht="210" x14ac:dyDescent="0.25">
      <c r="A214" s="2" t="s">
        <v>362</v>
      </c>
      <c r="B214" s="2" t="s">
        <v>363</v>
      </c>
      <c r="C214" s="2" t="s">
        <v>364</v>
      </c>
      <c r="D214" s="2" t="s">
        <v>365</v>
      </c>
      <c r="E214" s="2" t="s">
        <v>366</v>
      </c>
      <c r="F214" s="2" t="s">
        <v>367</v>
      </c>
    </row>
    <row r="215" spans="1:6" ht="300" x14ac:dyDescent="0.25">
      <c r="A215" s="2" t="s">
        <v>398</v>
      </c>
      <c r="B215" s="2" t="s">
        <v>415</v>
      </c>
      <c r="C215" s="2" t="s">
        <v>416</v>
      </c>
      <c r="D215" s="2" t="s">
        <v>414</v>
      </c>
      <c r="E215" s="2" t="s">
        <v>401</v>
      </c>
      <c r="F215" s="2" t="s">
        <v>402</v>
      </c>
    </row>
    <row r="216" spans="1:6" ht="300" x14ac:dyDescent="0.25">
      <c r="A216" s="2" t="s">
        <v>398</v>
      </c>
      <c r="B216" s="2" t="s">
        <v>412</v>
      </c>
      <c r="C216" s="2" t="s">
        <v>413</v>
      </c>
      <c r="D216" s="2" t="s">
        <v>414</v>
      </c>
      <c r="E216" s="2" t="s">
        <v>401</v>
      </c>
      <c r="F216" s="2" t="s">
        <v>402</v>
      </c>
    </row>
    <row r="217" spans="1:6" ht="120" x14ac:dyDescent="0.25">
      <c r="A217" s="2" t="s">
        <v>94</v>
      </c>
      <c r="B217" s="2" t="s">
        <v>103</v>
      </c>
      <c r="C217" s="2" t="s">
        <v>104</v>
      </c>
      <c r="D217" s="2" t="s">
        <v>105</v>
      </c>
      <c r="E217" s="2" t="s">
        <v>98</v>
      </c>
      <c r="F217" s="2" t="s">
        <v>99</v>
      </c>
    </row>
    <row r="218" spans="1:6" ht="180" x14ac:dyDescent="0.25">
      <c r="A218" s="2" t="s">
        <v>94</v>
      </c>
      <c r="B218" s="2" t="s">
        <v>95</v>
      </c>
      <c r="C218" s="2" t="s">
        <v>96</v>
      </c>
      <c r="D218" s="2" t="s">
        <v>97</v>
      </c>
      <c r="E218" s="2" t="s">
        <v>98</v>
      </c>
      <c r="F218" s="2" t="s">
        <v>99</v>
      </c>
    </row>
    <row r="219" spans="1:6" ht="225" x14ac:dyDescent="0.25">
      <c r="A219" s="2" t="s">
        <v>288</v>
      </c>
      <c r="B219" s="2" t="s">
        <v>294</v>
      </c>
      <c r="C219" s="2" t="s">
        <v>295</v>
      </c>
      <c r="D219" s="2" t="s">
        <v>296</v>
      </c>
      <c r="E219" s="2" t="s">
        <v>292</v>
      </c>
      <c r="F219" s="2" t="s">
        <v>293</v>
      </c>
    </row>
    <row r="220" spans="1:6" ht="180" x14ac:dyDescent="0.25">
      <c r="A220" s="2" t="s">
        <v>457</v>
      </c>
      <c r="B220" s="2" t="s">
        <v>466</v>
      </c>
      <c r="C220" s="2" t="s">
        <v>467</v>
      </c>
      <c r="D220" s="2" t="s">
        <v>328</v>
      </c>
      <c r="E220" s="2" t="s">
        <v>460</v>
      </c>
      <c r="F220" s="2" t="s">
        <v>458</v>
      </c>
    </row>
    <row r="221" spans="1:6" ht="120" x14ac:dyDescent="0.25">
      <c r="A221" s="2" t="s">
        <v>499</v>
      </c>
      <c r="B221" s="2" t="s">
        <v>504</v>
      </c>
      <c r="C221" s="2" t="s">
        <v>505</v>
      </c>
      <c r="D221" s="2" t="s">
        <v>391</v>
      </c>
      <c r="E221" s="2" t="s">
        <v>502</v>
      </c>
      <c r="F221" s="2" t="s">
        <v>503</v>
      </c>
    </row>
    <row r="222" spans="1:6" ht="210" x14ac:dyDescent="0.25">
      <c r="A222" s="2" t="s">
        <v>196</v>
      </c>
      <c r="B222" s="2" t="s">
        <v>217</v>
      </c>
      <c r="C222" s="2" t="s">
        <v>218</v>
      </c>
      <c r="D222" s="2" t="s">
        <v>219</v>
      </c>
      <c r="E222" s="2" t="s">
        <v>200</v>
      </c>
      <c r="F222" s="2" t="s">
        <v>201</v>
      </c>
    </row>
    <row r="223" spans="1:6" ht="120" x14ac:dyDescent="0.25">
      <c r="A223" s="2" t="s">
        <v>471</v>
      </c>
      <c r="B223" s="2" t="s">
        <v>480</v>
      </c>
      <c r="C223" s="2" t="s">
        <v>481</v>
      </c>
      <c r="D223" s="2" t="s">
        <v>482</v>
      </c>
      <c r="E223" s="2" t="s">
        <v>475</v>
      </c>
      <c r="F223" s="2" t="s">
        <v>476</v>
      </c>
    </row>
    <row r="224" spans="1:6" ht="210" x14ac:dyDescent="0.25">
      <c r="A224" s="2" t="s">
        <v>782</v>
      </c>
      <c r="B224" s="2" t="s">
        <v>783</v>
      </c>
      <c r="C224" s="2" t="s">
        <v>784</v>
      </c>
      <c r="D224" s="2" t="s">
        <v>679</v>
      </c>
      <c r="E224" s="2" t="s">
        <v>785</v>
      </c>
      <c r="F224" s="2" t="s">
        <v>786</v>
      </c>
    </row>
    <row r="225" spans="1:6" ht="210" x14ac:dyDescent="0.25">
      <c r="A225" s="2" t="s">
        <v>443</v>
      </c>
      <c r="B225" s="2" t="s">
        <v>444</v>
      </c>
      <c r="C225" s="2" t="s">
        <v>445</v>
      </c>
      <c r="D225" s="2" t="s">
        <v>446</v>
      </c>
      <c r="E225" s="2" t="s">
        <v>447</v>
      </c>
      <c r="F225" s="2" t="s">
        <v>448</v>
      </c>
    </row>
    <row r="226" spans="1:6" ht="180" x14ac:dyDescent="0.25">
      <c r="A226" s="2" t="s">
        <v>457</v>
      </c>
      <c r="B226" s="2" t="s">
        <v>463</v>
      </c>
      <c r="C226" s="2" t="s">
        <v>464</v>
      </c>
      <c r="D226" s="2" t="s">
        <v>465</v>
      </c>
      <c r="E226" s="2" t="s">
        <v>460</v>
      </c>
      <c r="F226" s="2" t="s">
        <v>458</v>
      </c>
    </row>
    <row r="227" spans="1:6" ht="195" x14ac:dyDescent="0.25">
      <c r="A227" s="2" t="s">
        <v>854</v>
      </c>
      <c r="B227" s="2" t="s">
        <v>855</v>
      </c>
      <c r="C227" s="2" t="s">
        <v>856</v>
      </c>
      <c r="D227" s="2" t="s">
        <v>649</v>
      </c>
      <c r="E227" s="2" t="s">
        <v>854</v>
      </c>
      <c r="F227" s="2" t="s">
        <v>857</v>
      </c>
    </row>
    <row r="228" spans="1:6" ht="210" x14ac:dyDescent="0.25">
      <c r="A228" s="2" t="s">
        <v>443</v>
      </c>
      <c r="B228" s="2" t="s">
        <v>454</v>
      </c>
      <c r="C228" s="2" t="s">
        <v>455</v>
      </c>
      <c r="D228" s="2" t="s">
        <v>456</v>
      </c>
      <c r="E228" s="2" t="s">
        <v>447</v>
      </c>
      <c r="F228" s="2" t="s">
        <v>448</v>
      </c>
    </row>
    <row r="229" spans="1:6" ht="165" x14ac:dyDescent="0.25">
      <c r="A229" s="2" t="s">
        <v>297</v>
      </c>
      <c r="B229" s="2" t="s">
        <v>305</v>
      </c>
      <c r="C229" s="2" t="s">
        <v>306</v>
      </c>
      <c r="D229" s="2" t="s">
        <v>307</v>
      </c>
      <c r="E229" s="2" t="s">
        <v>301</v>
      </c>
      <c r="F229" s="2" t="s">
        <v>302</v>
      </c>
    </row>
    <row r="230" spans="1:6" ht="210" x14ac:dyDescent="0.25">
      <c r="A230" s="2" t="s">
        <v>820</v>
      </c>
      <c r="B230" s="2" t="s">
        <v>825</v>
      </c>
      <c r="C230" s="2" t="s">
        <v>826</v>
      </c>
      <c r="D230" s="2" t="s">
        <v>827</v>
      </c>
      <c r="E230" s="2" t="s">
        <v>820</v>
      </c>
      <c r="F230" s="2" t="s">
        <v>824</v>
      </c>
    </row>
    <row r="231" spans="1:6" ht="270" x14ac:dyDescent="0.25">
      <c r="A231" s="2" t="s">
        <v>297</v>
      </c>
      <c r="B231" s="2" t="s">
        <v>303</v>
      </c>
      <c r="C231" s="2" t="s">
        <v>304</v>
      </c>
      <c r="D231" s="2" t="s">
        <v>300</v>
      </c>
      <c r="E231" s="2" t="s">
        <v>301</v>
      </c>
      <c r="F231" s="2" t="s">
        <v>302</v>
      </c>
    </row>
    <row r="232" spans="1:6" ht="225" x14ac:dyDescent="0.25">
      <c r="A232" s="2" t="s">
        <v>425</v>
      </c>
      <c r="B232" s="2" t="s">
        <v>426</v>
      </c>
      <c r="C232" s="2" t="s">
        <v>427</v>
      </c>
      <c r="D232" s="2" t="s">
        <v>428</v>
      </c>
      <c r="E232" s="2" t="s">
        <v>429</v>
      </c>
      <c r="F232" s="2" t="s">
        <v>430</v>
      </c>
    </row>
    <row r="233" spans="1:6" ht="180" x14ac:dyDescent="0.25">
      <c r="A233" s="2" t="s">
        <v>804</v>
      </c>
      <c r="B233" s="2" t="s">
        <v>809</v>
      </c>
      <c r="C233" s="2" t="s">
        <v>810</v>
      </c>
      <c r="D233" s="2" t="s">
        <v>811</v>
      </c>
      <c r="E233" s="2" t="s">
        <v>807</v>
      </c>
      <c r="F233" s="2" t="s">
        <v>808</v>
      </c>
    </row>
    <row r="234" spans="1:6" ht="165" x14ac:dyDescent="0.25">
      <c r="A234" s="2" t="s">
        <v>94</v>
      </c>
      <c r="B234" s="2" t="s">
        <v>100</v>
      </c>
      <c r="C234" s="2" t="s">
        <v>101</v>
      </c>
      <c r="D234" s="2" t="s">
        <v>102</v>
      </c>
      <c r="E234" s="2" t="s">
        <v>98</v>
      </c>
      <c r="F234" s="2" t="s">
        <v>99</v>
      </c>
    </row>
    <row r="235" spans="1:6" ht="270" x14ac:dyDescent="0.25">
      <c r="A235" s="2" t="s">
        <v>184</v>
      </c>
      <c r="B235" s="2" t="s">
        <v>193</v>
      </c>
      <c r="C235" s="2" t="s">
        <v>194</v>
      </c>
      <c r="D235" s="2" t="s">
        <v>195</v>
      </c>
      <c r="E235" s="2" t="s">
        <v>188</v>
      </c>
      <c r="F235" s="2" t="s">
        <v>189</v>
      </c>
    </row>
    <row r="236" spans="1:6" ht="210" x14ac:dyDescent="0.25">
      <c r="A236" s="2" t="s">
        <v>109</v>
      </c>
      <c r="B236" s="2" t="s">
        <v>124</v>
      </c>
      <c r="C236" s="2" t="s">
        <v>125</v>
      </c>
      <c r="D236" s="2" t="s">
        <v>126</v>
      </c>
      <c r="E236" s="2" t="s">
        <v>113</v>
      </c>
      <c r="F236" s="2" t="s">
        <v>114</v>
      </c>
    </row>
    <row r="237" spans="1:6" ht="210" x14ac:dyDescent="0.25">
      <c r="A237" s="2" t="s">
        <v>109</v>
      </c>
      <c r="B237" s="2" t="s">
        <v>118</v>
      </c>
      <c r="C237" s="2" t="s">
        <v>119</v>
      </c>
      <c r="D237" s="2" t="s">
        <v>120</v>
      </c>
      <c r="E237" s="2" t="s">
        <v>113</v>
      </c>
      <c r="F237" s="2" t="s">
        <v>114</v>
      </c>
    </row>
    <row r="238" spans="1:6" ht="210" x14ac:dyDescent="0.25">
      <c r="A238" s="2" t="s">
        <v>196</v>
      </c>
      <c r="B238" s="2" t="s">
        <v>202</v>
      </c>
      <c r="C238" s="2" t="s">
        <v>203</v>
      </c>
      <c r="D238" s="2" t="s">
        <v>204</v>
      </c>
      <c r="E238" s="2" t="s">
        <v>200</v>
      </c>
      <c r="F238" s="2" t="s">
        <v>201</v>
      </c>
    </row>
    <row r="239" spans="1:6" ht="210" x14ac:dyDescent="0.25">
      <c r="A239" s="2" t="s">
        <v>820</v>
      </c>
      <c r="B239" s="2" t="s">
        <v>842</v>
      </c>
      <c r="C239" s="2" t="s">
        <v>843</v>
      </c>
      <c r="D239" s="2" t="s">
        <v>194</v>
      </c>
      <c r="E239" s="2" t="s">
        <v>820</v>
      </c>
      <c r="F239" s="2" t="s">
        <v>824</v>
      </c>
    </row>
    <row r="240" spans="1:6" ht="210" x14ac:dyDescent="0.25">
      <c r="A240" s="2" t="s">
        <v>820</v>
      </c>
      <c r="B240" s="2" t="s">
        <v>821</v>
      </c>
      <c r="C240" s="2" t="s">
        <v>822</v>
      </c>
      <c r="D240" s="2" t="s">
        <v>823</v>
      </c>
      <c r="E240" s="2" t="s">
        <v>820</v>
      </c>
      <c r="F240" s="2" t="s">
        <v>824</v>
      </c>
    </row>
    <row r="241" spans="1:6" ht="210" x14ac:dyDescent="0.25">
      <c r="A241" s="2" t="s">
        <v>471</v>
      </c>
      <c r="B241" s="2" t="s">
        <v>472</v>
      </c>
      <c r="C241" s="2" t="s">
        <v>473</v>
      </c>
      <c r="D241" s="2" t="s">
        <v>474</v>
      </c>
      <c r="E241" s="2" t="s">
        <v>475</v>
      </c>
      <c r="F241" s="2" t="s">
        <v>476</v>
      </c>
    </row>
    <row r="242" spans="1:6" ht="240" x14ac:dyDescent="0.25">
      <c r="A242" s="2" t="s">
        <v>431</v>
      </c>
      <c r="B242" s="2" t="s">
        <v>440</v>
      </c>
      <c r="C242" s="2" t="s">
        <v>441</v>
      </c>
      <c r="D242" s="2" t="s">
        <v>442</v>
      </c>
      <c r="E242" s="2" t="s">
        <v>435</v>
      </c>
      <c r="F242" s="2" t="s">
        <v>436</v>
      </c>
    </row>
    <row r="243" spans="1:6" ht="180" x14ac:dyDescent="0.25">
      <c r="A243" s="2" t="s">
        <v>758</v>
      </c>
      <c r="B243" s="2" t="s">
        <v>770</v>
      </c>
      <c r="C243" s="2" t="s">
        <v>771</v>
      </c>
      <c r="D243" s="2" t="s">
        <v>772</v>
      </c>
      <c r="E243" s="2" t="s">
        <v>762</v>
      </c>
      <c r="F243" s="2" t="s">
        <v>763</v>
      </c>
    </row>
    <row r="244" spans="1:6" ht="165" x14ac:dyDescent="0.25">
      <c r="A244" s="2" t="s">
        <v>520</v>
      </c>
      <c r="B244" s="2" t="s">
        <v>526</v>
      </c>
      <c r="C244" s="2" t="s">
        <v>527</v>
      </c>
      <c r="D244" s="2" t="s">
        <v>528</v>
      </c>
      <c r="E244" s="2" t="s">
        <v>522</v>
      </c>
      <c r="F244" s="2" t="s">
        <v>523</v>
      </c>
    </row>
    <row r="245" spans="1:6" ht="240" x14ac:dyDescent="0.25">
      <c r="A245" s="2" t="s">
        <v>794</v>
      </c>
      <c r="B245" s="2" t="s">
        <v>802</v>
      </c>
      <c r="C245" s="2" t="s">
        <v>803</v>
      </c>
      <c r="D245" s="2" t="s">
        <v>797</v>
      </c>
      <c r="E245" s="2" t="s">
        <v>798</v>
      </c>
      <c r="F245" s="2" t="s">
        <v>799</v>
      </c>
    </row>
    <row r="246" spans="1:6" ht="150" x14ac:dyDescent="0.25">
      <c r="A246" s="2" t="s">
        <v>720</v>
      </c>
      <c r="B246" s="2" t="s">
        <v>728</v>
      </c>
      <c r="C246" s="2" t="s">
        <v>729</v>
      </c>
      <c r="D246" s="2" t="s">
        <v>730</v>
      </c>
      <c r="E246" s="2" t="s">
        <v>720</v>
      </c>
      <c r="F246" s="2" t="s">
        <v>724</v>
      </c>
    </row>
    <row r="247" spans="1:6" ht="165" x14ac:dyDescent="0.25">
      <c r="A247" s="2" t="s">
        <v>38</v>
      </c>
      <c r="B247" s="2" t="s">
        <v>56</v>
      </c>
      <c r="C247" s="2" t="s">
        <v>57</v>
      </c>
      <c r="D247" s="2" t="s">
        <v>58</v>
      </c>
      <c r="E247" s="2" t="s">
        <v>42</v>
      </c>
      <c r="F247" s="2" t="s">
        <v>43</v>
      </c>
    </row>
    <row r="248" spans="1:6" ht="210" x14ac:dyDescent="0.25">
      <c r="A248" s="2" t="s">
        <v>664</v>
      </c>
      <c r="B248" s="2" t="s">
        <v>687</v>
      </c>
      <c r="C248" s="2" t="s">
        <v>688</v>
      </c>
      <c r="D248" s="2" t="s">
        <v>689</v>
      </c>
      <c r="E248" s="2" t="s">
        <v>664</v>
      </c>
      <c r="F248" s="2" t="s">
        <v>667</v>
      </c>
    </row>
    <row r="249" spans="1:6" ht="135" x14ac:dyDescent="0.25">
      <c r="A249" s="2" t="s">
        <v>471</v>
      </c>
      <c r="B249" s="2" t="s">
        <v>483</v>
      </c>
      <c r="C249" s="2" t="s">
        <v>484</v>
      </c>
      <c r="D249" s="2" t="s">
        <v>270</v>
      </c>
      <c r="E249" s="2" t="s">
        <v>475</v>
      </c>
      <c r="F249" s="2" t="s">
        <v>476</v>
      </c>
    </row>
    <row r="250" spans="1:6" ht="240" x14ac:dyDescent="0.25">
      <c r="A250" s="2" t="s">
        <v>229</v>
      </c>
      <c r="B250" s="2" t="s">
        <v>230</v>
      </c>
      <c r="C250" s="2" t="s">
        <v>231</v>
      </c>
      <c r="D250" s="2" t="s">
        <v>232</v>
      </c>
      <c r="E250" s="2" t="s">
        <v>233</v>
      </c>
      <c r="F250" s="2" t="s">
        <v>234</v>
      </c>
    </row>
    <row r="251" spans="1:6" ht="270" x14ac:dyDescent="0.25">
      <c r="A251" s="2" t="s">
        <v>62</v>
      </c>
      <c r="B251" s="2" t="s">
        <v>68</v>
      </c>
      <c r="C251" s="2" t="s">
        <v>69</v>
      </c>
      <c r="D251" s="2" t="s">
        <v>70</v>
      </c>
      <c r="E251" s="2" t="s">
        <v>66</v>
      </c>
      <c r="F251" s="2" t="s">
        <v>67</v>
      </c>
    </row>
    <row r="252" spans="1:6" ht="180" x14ac:dyDescent="0.25">
      <c r="A252" s="2" t="s">
        <v>310</v>
      </c>
      <c r="B252" s="2" t="s">
        <v>311</v>
      </c>
      <c r="C252" s="2" t="s">
        <v>312</v>
      </c>
      <c r="D252" s="2" t="s">
        <v>313</v>
      </c>
      <c r="E252" s="2" t="s">
        <v>314</v>
      </c>
      <c r="F252" s="2" t="s">
        <v>315</v>
      </c>
    </row>
    <row r="253" spans="1:6" ht="210" x14ac:dyDescent="0.25">
      <c r="A253" s="2" t="s">
        <v>664</v>
      </c>
      <c r="B253" s="2" t="s">
        <v>677</v>
      </c>
      <c r="C253" s="2" t="s">
        <v>678</v>
      </c>
      <c r="D253" s="2" t="s">
        <v>679</v>
      </c>
      <c r="E253" s="2" t="s">
        <v>664</v>
      </c>
      <c r="F253" s="2" t="s">
        <v>667</v>
      </c>
    </row>
    <row r="254" spans="1:6" ht="240" x14ac:dyDescent="0.25">
      <c r="A254" s="2" t="s">
        <v>229</v>
      </c>
      <c r="B254" s="2" t="s">
        <v>251</v>
      </c>
      <c r="C254" s="2" t="s">
        <v>252</v>
      </c>
      <c r="D254" s="2" t="s">
        <v>253</v>
      </c>
      <c r="E254" s="2" t="s">
        <v>233</v>
      </c>
      <c r="F254" s="2" t="s">
        <v>234</v>
      </c>
    </row>
    <row r="255" spans="1:6" ht="135" x14ac:dyDescent="0.25">
      <c r="A255" s="2" t="s">
        <v>383</v>
      </c>
      <c r="B255" s="2" t="s">
        <v>395</v>
      </c>
      <c r="C255" s="2" t="s">
        <v>396</v>
      </c>
      <c r="D255" s="2" t="s">
        <v>397</v>
      </c>
      <c r="E255" s="2" t="s">
        <v>387</v>
      </c>
      <c r="F255" s="2" t="s">
        <v>388</v>
      </c>
    </row>
    <row r="256" spans="1:6" ht="180" x14ac:dyDescent="0.25">
      <c r="A256" s="2" t="s">
        <v>288</v>
      </c>
      <c r="B256" s="2" t="s">
        <v>289</v>
      </c>
      <c r="C256" s="2" t="s">
        <v>290</v>
      </c>
      <c r="D256" s="2" t="s">
        <v>291</v>
      </c>
      <c r="E256" s="2" t="s">
        <v>292</v>
      </c>
      <c r="F256" s="2" t="s">
        <v>293</v>
      </c>
    </row>
    <row r="257" spans="1:6" ht="300" x14ac:dyDescent="0.25">
      <c r="A257" s="2" t="s">
        <v>398</v>
      </c>
      <c r="B257" s="2" t="s">
        <v>408</v>
      </c>
      <c r="C257" s="2" t="s">
        <v>409</v>
      </c>
      <c r="D257" s="2" t="s">
        <v>409</v>
      </c>
      <c r="E257" s="2" t="s">
        <v>401</v>
      </c>
      <c r="F257" s="2" t="s">
        <v>402</v>
      </c>
    </row>
    <row r="258" spans="1:6" ht="270" x14ac:dyDescent="0.25">
      <c r="A258" s="2" t="s">
        <v>329</v>
      </c>
      <c r="B258" s="2" t="s">
        <v>335</v>
      </c>
      <c r="C258" s="2" t="s">
        <v>336</v>
      </c>
      <c r="D258" s="2" t="s">
        <v>270</v>
      </c>
      <c r="E258" s="2" t="s">
        <v>333</v>
      </c>
      <c r="F258" s="2" t="s">
        <v>334</v>
      </c>
    </row>
    <row r="259" spans="1:6" ht="210" x14ac:dyDescent="0.25">
      <c r="A259" s="2" t="s">
        <v>14</v>
      </c>
      <c r="B259" s="2" t="s">
        <v>20</v>
      </c>
      <c r="C259" s="2" t="s">
        <v>21</v>
      </c>
      <c r="D259" s="2" t="s">
        <v>22</v>
      </c>
      <c r="E259" s="2" t="s">
        <v>18</v>
      </c>
      <c r="F259" s="2" t="s">
        <v>19</v>
      </c>
    </row>
    <row r="260" spans="1:6" ht="225" x14ac:dyDescent="0.25">
      <c r="A260" s="2" t="s">
        <v>758</v>
      </c>
      <c r="B260" s="2" t="s">
        <v>764</v>
      </c>
      <c r="C260" s="2" t="s">
        <v>765</v>
      </c>
      <c r="D260" s="2" t="s">
        <v>766</v>
      </c>
      <c r="E260" s="2" t="s">
        <v>762</v>
      </c>
      <c r="F260" s="2" t="s">
        <v>763</v>
      </c>
    </row>
    <row r="261" spans="1:6" ht="135" x14ac:dyDescent="0.25">
      <c r="A261" s="2" t="s">
        <v>142</v>
      </c>
      <c r="B261" s="2" t="s">
        <v>151</v>
      </c>
      <c r="C261" s="2" t="s">
        <v>152</v>
      </c>
      <c r="D261" s="2" t="s">
        <v>153</v>
      </c>
      <c r="E261" s="2" t="s">
        <v>146</v>
      </c>
      <c r="F261" s="2" t="s">
        <v>147</v>
      </c>
    </row>
    <row r="262" spans="1:6" ht="180" x14ac:dyDescent="0.25">
      <c r="A262" s="2" t="s">
        <v>38</v>
      </c>
      <c r="B262" s="2" t="s">
        <v>47</v>
      </c>
      <c r="C262" s="2" t="s">
        <v>48</v>
      </c>
      <c r="D262" s="2" t="s">
        <v>49</v>
      </c>
      <c r="E262" s="2" t="s">
        <v>42</v>
      </c>
      <c r="F262" s="2" t="s">
        <v>43</v>
      </c>
    </row>
    <row r="263" spans="1:6" ht="120" x14ac:dyDescent="0.25">
      <c r="A263" s="2" t="s">
        <v>741</v>
      </c>
      <c r="B263" s="2" t="s">
        <v>746</v>
      </c>
      <c r="C263" s="2" t="s">
        <v>111</v>
      </c>
      <c r="D263" s="2" t="s">
        <v>619</v>
      </c>
      <c r="E263" s="2" t="s">
        <v>744</v>
      </c>
      <c r="F263" s="2" t="s">
        <v>745</v>
      </c>
    </row>
    <row r="264" spans="1:6" ht="255" x14ac:dyDescent="0.25">
      <c r="A264" s="2" t="s">
        <v>14</v>
      </c>
      <c r="B264" s="2" t="s">
        <v>15</v>
      </c>
      <c r="C264" s="2" t="s">
        <v>16</v>
      </c>
      <c r="D264" s="2" t="s">
        <v>17</v>
      </c>
      <c r="E264" s="2" t="s">
        <v>18</v>
      </c>
      <c r="F264" s="2" t="s">
        <v>19</v>
      </c>
    </row>
    <row r="265" spans="1:6" ht="270" x14ac:dyDescent="0.25">
      <c r="A265" s="2" t="s">
        <v>184</v>
      </c>
      <c r="B265" s="2" t="s">
        <v>185</v>
      </c>
      <c r="C265" s="2" t="s">
        <v>186</v>
      </c>
      <c r="D265" s="2" t="s">
        <v>187</v>
      </c>
      <c r="E265" s="2" t="s">
        <v>188</v>
      </c>
      <c r="F265" s="2" t="s">
        <v>189</v>
      </c>
    </row>
    <row r="266" spans="1:6" ht="195" x14ac:dyDescent="0.25">
      <c r="A266" s="2" t="s">
        <v>710</v>
      </c>
      <c r="B266" s="2" t="s">
        <v>716</v>
      </c>
      <c r="C266" s="2" t="s">
        <v>712</v>
      </c>
      <c r="D266" s="2" t="s">
        <v>713</v>
      </c>
      <c r="E266" s="2" t="s">
        <v>714</v>
      </c>
      <c r="F266" s="2" t="s">
        <v>715</v>
      </c>
    </row>
    <row r="267" spans="1:6" ht="240" x14ac:dyDescent="0.25">
      <c r="A267" s="2" t="s">
        <v>692</v>
      </c>
      <c r="B267" s="2" t="s">
        <v>693</v>
      </c>
      <c r="C267" s="2" t="s">
        <v>694</v>
      </c>
      <c r="D267" s="2" t="s">
        <v>695</v>
      </c>
      <c r="E267" s="2" t="s">
        <v>692</v>
      </c>
      <c r="F267" s="2" t="s">
        <v>696</v>
      </c>
    </row>
    <row r="268" spans="1:6" ht="255" x14ac:dyDescent="0.25">
      <c r="A268" s="2" t="s">
        <v>340</v>
      </c>
      <c r="B268" s="2" t="s">
        <v>359</v>
      </c>
      <c r="C268" s="2" t="s">
        <v>360</v>
      </c>
      <c r="D268" s="2" t="s">
        <v>361</v>
      </c>
      <c r="E268" s="2" t="s">
        <v>344</v>
      </c>
      <c r="F268" s="2" t="s">
        <v>345</v>
      </c>
    </row>
    <row r="269" spans="1:6" ht="210" x14ac:dyDescent="0.25">
      <c r="A269" s="2" t="s">
        <v>80</v>
      </c>
      <c r="B269" s="2" t="s">
        <v>89</v>
      </c>
      <c r="C269" s="2" t="s">
        <v>90</v>
      </c>
      <c r="D269" s="2" t="s">
        <v>91</v>
      </c>
      <c r="E269" s="2" t="s">
        <v>84</v>
      </c>
      <c r="F269" s="2" t="s">
        <v>85</v>
      </c>
    </row>
    <row r="270" spans="1:6" ht="195" x14ac:dyDescent="0.25">
      <c r="A270" s="2" t="s">
        <v>583</v>
      </c>
      <c r="B270" s="2" t="s">
        <v>596</v>
      </c>
      <c r="C270" s="2" t="s">
        <v>597</v>
      </c>
      <c r="D270" s="2" t="s">
        <v>598</v>
      </c>
      <c r="E270" s="2" t="s">
        <v>586</v>
      </c>
      <c r="F270" s="2" t="s">
        <v>587</v>
      </c>
    </row>
    <row r="271" spans="1:6" ht="240" x14ac:dyDescent="0.25">
      <c r="A271" s="2" t="s">
        <v>692</v>
      </c>
      <c r="B271" s="2" t="s">
        <v>703</v>
      </c>
      <c r="C271" s="2" t="s">
        <v>701</v>
      </c>
      <c r="D271" s="2" t="s">
        <v>702</v>
      </c>
      <c r="E271" s="2" t="s">
        <v>692</v>
      </c>
      <c r="F271" s="2" t="s">
        <v>696</v>
      </c>
    </row>
    <row r="272" spans="1:6" ht="225" x14ac:dyDescent="0.25">
      <c r="A272" s="2" t="s">
        <v>271</v>
      </c>
      <c r="B272" s="2" t="s">
        <v>277</v>
      </c>
      <c r="C272" s="2" t="s">
        <v>278</v>
      </c>
      <c r="D272" s="2" t="s">
        <v>270</v>
      </c>
      <c r="E272" s="2" t="s">
        <v>275</v>
      </c>
      <c r="F272" s="2" t="s">
        <v>276</v>
      </c>
    </row>
    <row r="273" spans="1:6" ht="165" x14ac:dyDescent="0.25">
      <c r="A273" s="2" t="s">
        <v>520</v>
      </c>
      <c r="B273" s="2" t="s">
        <v>524</v>
      </c>
      <c r="C273" s="2" t="s">
        <v>525</v>
      </c>
      <c r="D273" s="2" t="s">
        <v>300</v>
      </c>
      <c r="E273" s="2" t="s">
        <v>522</v>
      </c>
      <c r="F273" s="2" t="s">
        <v>523</v>
      </c>
    </row>
    <row r="274" spans="1:6" ht="300" x14ac:dyDescent="0.25">
      <c r="A274" s="2" t="s">
        <v>398</v>
      </c>
      <c r="B274" s="2" t="s">
        <v>405</v>
      </c>
      <c r="C274" s="2" t="s">
        <v>406</v>
      </c>
      <c r="D274" s="2" t="s">
        <v>407</v>
      </c>
      <c r="E274" s="2" t="s">
        <v>401</v>
      </c>
      <c r="F274" s="2" t="s">
        <v>402</v>
      </c>
    </row>
    <row r="275" spans="1:6" ht="150" x14ac:dyDescent="0.25">
      <c r="A275" s="2" t="s">
        <v>720</v>
      </c>
      <c r="B275" s="2" t="s">
        <v>725</v>
      </c>
      <c r="C275" s="2" t="s">
        <v>726</v>
      </c>
      <c r="D275" s="2" t="s">
        <v>727</v>
      </c>
      <c r="E275" s="2" t="s">
        <v>720</v>
      </c>
      <c r="F275" s="2" t="s">
        <v>724</v>
      </c>
    </row>
    <row r="276" spans="1:6" ht="195" x14ac:dyDescent="0.25">
      <c r="A276" s="2" t="s">
        <v>651</v>
      </c>
      <c r="B276" s="2" t="s">
        <v>652</v>
      </c>
      <c r="C276" s="2" t="s">
        <v>653</v>
      </c>
      <c r="D276" s="2" t="s">
        <v>654</v>
      </c>
      <c r="E276" s="2" t="s">
        <v>655</v>
      </c>
      <c r="F276" s="2" t="s">
        <v>656</v>
      </c>
    </row>
    <row r="277" spans="1:6" ht="195" x14ac:dyDescent="0.25">
      <c r="A277" s="2" t="s">
        <v>710</v>
      </c>
      <c r="B277" s="2" t="s">
        <v>717</v>
      </c>
      <c r="C277" s="2" t="s">
        <v>718</v>
      </c>
      <c r="D277" s="2" t="s">
        <v>719</v>
      </c>
      <c r="E277" s="2" t="s">
        <v>714</v>
      </c>
      <c r="F277" s="2" t="s">
        <v>715</v>
      </c>
    </row>
    <row r="278" spans="1:6" ht="165" x14ac:dyDescent="0.25">
      <c r="A278" s="2" t="s">
        <v>259</v>
      </c>
      <c r="B278" s="2" t="s">
        <v>260</v>
      </c>
      <c r="C278" s="2" t="s">
        <v>261</v>
      </c>
      <c r="D278" s="2" t="s">
        <v>262</v>
      </c>
      <c r="E278" s="2" t="s">
        <v>263</v>
      </c>
      <c r="F278" s="2" t="s">
        <v>264</v>
      </c>
    </row>
  </sheetData>
  <sortState ref="A2:F278">
    <sortCondition ref="B2:B278"/>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3" tint="0.39997558519241921"/>
    <pageSetUpPr fitToPage="1"/>
  </sheetPr>
  <dimension ref="A1:V17"/>
  <sheetViews>
    <sheetView showGridLines="0" workbookViewId="0">
      <pane xSplit="1" ySplit="14" topLeftCell="I15" activePane="bottomRight" state="frozen"/>
      <selection pane="topRight" activeCell="B1" sqref="B1"/>
      <selection pane="bottomLeft" activeCell="A15" sqref="A15"/>
      <selection pane="bottomRight" activeCell="P9" sqref="P9"/>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1189</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1103</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1104</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1105</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1106</v>
      </c>
      <c r="C11" s="169"/>
      <c r="D11" s="169"/>
      <c r="E11" s="169"/>
      <c r="F11" s="158"/>
      <c r="G11" s="8" t="s">
        <v>3</v>
      </c>
      <c r="H11" s="157" t="s">
        <v>1009</v>
      </c>
      <c r="I11" s="158"/>
      <c r="K11" s="159">
        <f>+Tabla145678910[[#Totals],[TOTAL]]</f>
        <v>380140.45</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84" x14ac:dyDescent="0.2">
      <c r="A15" s="18" t="s">
        <v>1108</v>
      </c>
      <c r="B15" s="61" t="s">
        <v>1231</v>
      </c>
      <c r="C15" s="19">
        <v>80</v>
      </c>
      <c r="D15" s="19" t="s">
        <v>1268</v>
      </c>
      <c r="E15" s="66">
        <v>4</v>
      </c>
      <c r="F15" s="20" t="s">
        <v>1109</v>
      </c>
      <c r="G15" s="20" t="s">
        <v>961</v>
      </c>
      <c r="H15" s="61" t="s">
        <v>1003</v>
      </c>
      <c r="I15" s="61" t="s">
        <v>1014</v>
      </c>
      <c r="J15" s="37">
        <v>20440</v>
      </c>
      <c r="K15" s="37">
        <v>20440</v>
      </c>
      <c r="L15" s="37">
        <v>20440</v>
      </c>
      <c r="M15" s="37">
        <v>20440</v>
      </c>
      <c r="N15" s="37">
        <v>20440</v>
      </c>
      <c r="O15" s="37">
        <v>20440</v>
      </c>
      <c r="P15" s="37">
        <v>20440</v>
      </c>
      <c r="Q15" s="37">
        <v>20440</v>
      </c>
      <c r="R15" s="37">
        <v>20440</v>
      </c>
      <c r="S15" s="37">
        <v>20440</v>
      </c>
      <c r="T15" s="37">
        <v>20440</v>
      </c>
      <c r="U15" s="37">
        <f>20440+14860.45</f>
        <v>35300.449999999997</v>
      </c>
      <c r="V15" s="36">
        <f>SUM(Tabla145678910[[#This Row],[ENE]:[DIC]])</f>
        <v>260140.45</v>
      </c>
    </row>
    <row r="16" spans="1:22" ht="72.75" thickBot="1" x14ac:dyDescent="0.25">
      <c r="A16" s="72" t="s">
        <v>1107</v>
      </c>
      <c r="B16" s="61" t="s">
        <v>1230</v>
      </c>
      <c r="C16" s="59">
        <v>10</v>
      </c>
      <c r="D16" s="63" t="s">
        <v>1251</v>
      </c>
      <c r="E16" s="59">
        <v>10</v>
      </c>
      <c r="F16" s="73" t="s">
        <v>1109</v>
      </c>
      <c r="G16" s="59" t="s">
        <v>961</v>
      </c>
      <c r="H16" s="61" t="s">
        <v>1003</v>
      </c>
      <c r="I16" s="61" t="s">
        <v>1014</v>
      </c>
      <c r="J16" s="60">
        <v>10000</v>
      </c>
      <c r="K16" s="60">
        <v>10000</v>
      </c>
      <c r="L16" s="60">
        <v>10000</v>
      </c>
      <c r="M16" s="60">
        <v>10000</v>
      </c>
      <c r="N16" s="60">
        <v>10000</v>
      </c>
      <c r="O16" s="60">
        <v>10000</v>
      </c>
      <c r="P16" s="60">
        <v>10000</v>
      </c>
      <c r="Q16" s="60">
        <v>10000</v>
      </c>
      <c r="R16" s="60">
        <v>10000</v>
      </c>
      <c r="S16" s="60">
        <v>10000</v>
      </c>
      <c r="T16" s="60">
        <v>10000</v>
      </c>
      <c r="U16" s="60">
        <v>10000</v>
      </c>
      <c r="V16" s="74">
        <f>SUM(Tabla145678910[[#This Row],[ENE]:[DIC]])</f>
        <v>120000</v>
      </c>
    </row>
    <row r="17" spans="1:22" ht="12.75" thickTop="1" x14ac:dyDescent="0.2">
      <c r="A17" s="126"/>
      <c r="B17" s="127"/>
      <c r="C17" s="127"/>
      <c r="D17" s="127"/>
      <c r="E17" s="127"/>
      <c r="F17" s="128"/>
      <c r="G17" s="128"/>
      <c r="H17" s="128"/>
      <c r="I17" s="128"/>
      <c r="J17" s="128"/>
      <c r="K17" s="128"/>
      <c r="L17" s="128"/>
      <c r="M17" s="128"/>
      <c r="N17" s="128"/>
      <c r="O17" s="128"/>
      <c r="P17" s="128"/>
      <c r="Q17" s="128"/>
      <c r="R17" s="128"/>
      <c r="S17" s="128"/>
      <c r="T17" s="128"/>
      <c r="U17" s="129" t="s">
        <v>9</v>
      </c>
      <c r="V17" s="130">
        <f>SUBTOTAL(109,Tabla145678910[TOTAL])</f>
        <v>380140.45</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0.19685039370078741" top="0.35433070866141736" bottom="0.35433070866141736" header="0.31496062992125984" footer="0.31496062992125984"/>
  <pageSetup paperSize="190" scale="56" orientation="landscape"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3" tint="0.39997558519241921"/>
    <pageSetUpPr fitToPage="1"/>
  </sheetPr>
  <dimension ref="A1:V17"/>
  <sheetViews>
    <sheetView showGridLines="0" workbookViewId="0">
      <pane xSplit="1" ySplit="14" topLeftCell="J15" activePane="bottomRight" state="frozen"/>
      <selection pane="topRight" activeCell="B1" sqref="B1"/>
      <selection pane="bottomLeft" activeCell="A15" sqref="A15"/>
      <selection pane="bottomRight" activeCell="J29" sqref="J29"/>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1226</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1120</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1121</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1122</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1123</v>
      </c>
      <c r="C11" s="169"/>
      <c r="D11" s="169"/>
      <c r="E11" s="169"/>
      <c r="F11" s="158"/>
      <c r="G11" s="8" t="s">
        <v>3</v>
      </c>
      <c r="H11" s="157" t="s">
        <v>1041</v>
      </c>
      <c r="I11" s="158"/>
      <c r="K11" s="159">
        <f>+Tabla1456789101112131415[[#Totals],[TOTAL]]</f>
        <v>120000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84" x14ac:dyDescent="0.2">
      <c r="A15" s="18" t="s">
        <v>1186</v>
      </c>
      <c r="B15" s="61" t="s">
        <v>1227</v>
      </c>
      <c r="C15" s="19">
        <v>100</v>
      </c>
      <c r="D15" s="19" t="s">
        <v>1248</v>
      </c>
      <c r="E15" s="66">
        <v>50</v>
      </c>
      <c r="F15" s="20" t="s">
        <v>1123</v>
      </c>
      <c r="G15" s="20" t="s">
        <v>961</v>
      </c>
      <c r="H15" s="61" t="s">
        <v>1003</v>
      </c>
      <c r="I15" s="61" t="s">
        <v>1014</v>
      </c>
      <c r="J15" s="37">
        <v>10000</v>
      </c>
      <c r="K15" s="37">
        <v>10000</v>
      </c>
      <c r="L15" s="37">
        <v>10000</v>
      </c>
      <c r="M15" s="37">
        <v>10000</v>
      </c>
      <c r="N15" s="37">
        <v>10000</v>
      </c>
      <c r="O15" s="37">
        <v>10000</v>
      </c>
      <c r="P15" s="37">
        <v>10000</v>
      </c>
      <c r="Q15" s="37">
        <v>10000</v>
      </c>
      <c r="R15" s="37">
        <v>10000</v>
      </c>
      <c r="S15" s="37">
        <v>10000</v>
      </c>
      <c r="T15" s="37">
        <v>10000</v>
      </c>
      <c r="U15" s="37">
        <v>10000</v>
      </c>
      <c r="V15" s="36">
        <f>SUM(Tabla1456789101112131415[[#This Row],[ENE]:[DIC]])</f>
        <v>120000</v>
      </c>
    </row>
    <row r="16" spans="1:22" ht="12.75" thickBot="1" x14ac:dyDescent="0.25">
      <c r="A16" s="72"/>
      <c r="B16" s="61"/>
      <c r="C16" s="59"/>
      <c r="D16" s="59"/>
      <c r="E16" s="59"/>
      <c r="F16" s="20"/>
      <c r="G16" s="59"/>
      <c r="H16" s="61"/>
      <c r="I16" s="61"/>
      <c r="J16" s="60"/>
      <c r="K16" s="60"/>
      <c r="L16" s="60"/>
      <c r="M16" s="60"/>
      <c r="N16" s="60"/>
      <c r="O16" s="60"/>
      <c r="P16" s="60"/>
      <c r="Q16" s="60"/>
      <c r="R16" s="60"/>
      <c r="S16" s="60"/>
      <c r="T16" s="60"/>
      <c r="U16" s="60"/>
      <c r="V16" s="74"/>
    </row>
    <row r="17" spans="1:22" ht="12.75" thickTop="1" x14ac:dyDescent="0.2">
      <c r="A17" s="67"/>
      <c r="B17" s="68"/>
      <c r="C17" s="68"/>
      <c r="D17" s="68"/>
      <c r="E17" s="68"/>
      <c r="F17" s="69"/>
      <c r="G17" s="69"/>
      <c r="H17" s="69"/>
      <c r="I17" s="69"/>
      <c r="J17" s="69"/>
      <c r="K17" s="69"/>
      <c r="L17" s="69"/>
      <c r="M17" s="69"/>
      <c r="N17" s="69"/>
      <c r="O17" s="69"/>
      <c r="P17" s="69"/>
      <c r="Q17" s="69"/>
      <c r="R17" s="69"/>
      <c r="S17" s="69"/>
      <c r="T17" s="69"/>
      <c r="U17" s="70" t="s">
        <v>9</v>
      </c>
      <c r="V17" s="71">
        <f>SUBTOTAL(109,Tabla1456789101112131415[TOTAL])</f>
        <v>120000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3" tint="0.39997558519241921"/>
    <pageSetUpPr fitToPage="1"/>
  </sheetPr>
  <dimension ref="A1:V17"/>
  <sheetViews>
    <sheetView showGridLines="0" workbookViewId="0">
      <pane xSplit="1" ySplit="14" topLeftCell="J15" activePane="bottomRight" state="frozen"/>
      <selection pane="topRight" activeCell="B1" sqref="B1"/>
      <selection pane="bottomLeft" activeCell="A15" sqref="A15"/>
      <selection pane="bottomRight" activeCell="R23" sqref="R23"/>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1199</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1033</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1030</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1031</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1032</v>
      </c>
      <c r="C11" s="169"/>
      <c r="D11" s="169"/>
      <c r="E11" s="169"/>
      <c r="F11" s="158"/>
      <c r="G11" s="8" t="s">
        <v>3</v>
      </c>
      <c r="H11" s="157" t="s">
        <v>961</v>
      </c>
      <c r="I11" s="158"/>
      <c r="K11" s="159">
        <f>+Tabla145[[#Totals],[TOTAL]]</f>
        <v>607500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C13" s="8" t="s">
        <v>1034</v>
      </c>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84" x14ac:dyDescent="0.2">
      <c r="A15" s="18" t="s">
        <v>1197</v>
      </c>
      <c r="B15" s="61" t="s">
        <v>1198</v>
      </c>
      <c r="C15" s="19">
        <v>100</v>
      </c>
      <c r="D15" s="19" t="s">
        <v>1254</v>
      </c>
      <c r="E15" s="66">
        <v>2</v>
      </c>
      <c r="F15" s="20" t="s">
        <v>1008</v>
      </c>
      <c r="G15" s="20" t="s">
        <v>961</v>
      </c>
      <c r="H15" s="61" t="s">
        <v>1003</v>
      </c>
      <c r="I15" s="61" t="s">
        <v>1014</v>
      </c>
      <c r="J15" s="37">
        <v>35625</v>
      </c>
      <c r="K15" s="37">
        <v>35625</v>
      </c>
      <c r="L15" s="37">
        <v>35625</v>
      </c>
      <c r="M15" s="37">
        <v>35625</v>
      </c>
      <c r="N15" s="37">
        <v>35625</v>
      </c>
      <c r="O15" s="37">
        <v>35625</v>
      </c>
      <c r="P15" s="37">
        <v>35625</v>
      </c>
      <c r="Q15" s="37">
        <v>35625</v>
      </c>
      <c r="R15" s="37">
        <v>35625</v>
      </c>
      <c r="S15" s="37">
        <v>35625</v>
      </c>
      <c r="T15" s="37">
        <v>35625</v>
      </c>
      <c r="U15" s="37">
        <v>35625</v>
      </c>
      <c r="V15" s="36">
        <f>SUM(Tabla145[[#This Row],[ENE]:[DIC]])</f>
        <v>427500</v>
      </c>
    </row>
    <row r="16" spans="1:22" ht="60.75" thickBot="1" x14ac:dyDescent="0.25">
      <c r="A16" s="84" t="s">
        <v>1200</v>
      </c>
      <c r="B16" s="85" t="s">
        <v>1097</v>
      </c>
      <c r="C16" s="81">
        <v>100</v>
      </c>
      <c r="D16" s="19" t="s">
        <v>1269</v>
      </c>
      <c r="E16" s="81">
        <v>1</v>
      </c>
      <c r="F16" s="73" t="s">
        <v>1172</v>
      </c>
      <c r="G16" s="20" t="s">
        <v>961</v>
      </c>
      <c r="H16" s="86" t="s">
        <v>1003</v>
      </c>
      <c r="I16" s="61" t="s">
        <v>1014</v>
      </c>
      <c r="J16" s="82">
        <v>15000</v>
      </c>
      <c r="K16" s="82">
        <v>15000</v>
      </c>
      <c r="L16" s="82">
        <v>15000</v>
      </c>
      <c r="M16" s="82">
        <v>15000</v>
      </c>
      <c r="N16" s="82">
        <v>15000</v>
      </c>
      <c r="O16" s="82">
        <v>15000</v>
      </c>
      <c r="P16" s="82">
        <v>15000</v>
      </c>
      <c r="Q16" s="82">
        <v>15000</v>
      </c>
      <c r="R16" s="82">
        <v>15000</v>
      </c>
      <c r="S16" s="82">
        <v>15000</v>
      </c>
      <c r="T16" s="82">
        <v>15000</v>
      </c>
      <c r="U16" s="82">
        <v>15000</v>
      </c>
      <c r="V16" s="83">
        <f>SUM(Tabla145[[#This Row],[ENE]:[DIC]])</f>
        <v>180000</v>
      </c>
    </row>
    <row r="17" spans="1:22" ht="12.75" thickTop="1" x14ac:dyDescent="0.2">
      <c r="A17" s="87"/>
      <c r="B17" s="88"/>
      <c r="C17" s="88"/>
      <c r="D17" s="88"/>
      <c r="E17" s="88"/>
      <c r="F17" s="89"/>
      <c r="G17" s="89"/>
      <c r="H17" s="89"/>
      <c r="I17" s="89"/>
      <c r="J17" s="89"/>
      <c r="K17" s="89"/>
      <c r="L17" s="89"/>
      <c r="M17" s="89"/>
      <c r="N17" s="89"/>
      <c r="O17" s="89"/>
      <c r="P17" s="89"/>
      <c r="Q17" s="89"/>
      <c r="R17" s="89"/>
      <c r="S17" s="89"/>
      <c r="T17" s="89"/>
      <c r="U17" s="90" t="s">
        <v>9</v>
      </c>
      <c r="V17" s="91">
        <f>SUBTOTAL(109,Tabla145[TOTAL])</f>
        <v>607500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39997558519241921"/>
    <pageSetUpPr fitToPage="1"/>
  </sheetPr>
  <dimension ref="A1:V18"/>
  <sheetViews>
    <sheetView showGridLines="0" workbookViewId="0">
      <pane xSplit="1" ySplit="14" topLeftCell="J15" activePane="bottomRight" state="frozen"/>
      <selection pane="topRight" activeCell="B1" sqref="B1"/>
      <selection pane="bottomLeft" activeCell="A15" sqref="A15"/>
      <selection pane="bottomRight" activeCell="R25" sqref="R25"/>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1052</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1053</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1054</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1055</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1008</v>
      </c>
      <c r="C11" s="169"/>
      <c r="D11" s="169"/>
      <c r="E11" s="169"/>
      <c r="F11" s="158"/>
      <c r="G11" s="8" t="s">
        <v>3</v>
      </c>
      <c r="H11" s="157" t="s">
        <v>961</v>
      </c>
      <c r="I11" s="158"/>
      <c r="K11" s="159">
        <f>+Tabla14[[#Totals],[TOTAL]]</f>
        <v>101000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48" x14ac:dyDescent="0.2">
      <c r="A15" s="18" t="s">
        <v>1056</v>
      </c>
      <c r="B15" s="61" t="s">
        <v>1057</v>
      </c>
      <c r="C15" s="19">
        <v>100</v>
      </c>
      <c r="D15" s="19" t="s">
        <v>1256</v>
      </c>
      <c r="E15" s="66">
        <v>500</v>
      </c>
      <c r="F15" s="20" t="s">
        <v>1059</v>
      </c>
      <c r="G15" s="20" t="s">
        <v>961</v>
      </c>
      <c r="H15" s="61" t="s">
        <v>1003</v>
      </c>
      <c r="I15" s="61" t="s">
        <v>1014</v>
      </c>
      <c r="J15" s="37">
        <v>1000</v>
      </c>
      <c r="K15" s="37">
        <v>70000</v>
      </c>
      <c r="L15" s="37">
        <v>1000</v>
      </c>
      <c r="M15" s="37">
        <v>1000</v>
      </c>
      <c r="N15" s="37">
        <v>1000</v>
      </c>
      <c r="O15" s="37">
        <v>1000</v>
      </c>
      <c r="P15" s="37">
        <v>1000</v>
      </c>
      <c r="Q15" s="37">
        <v>1000</v>
      </c>
      <c r="R15" s="37">
        <v>1000</v>
      </c>
      <c r="S15" s="37">
        <v>1000</v>
      </c>
      <c r="T15" s="37">
        <v>1000</v>
      </c>
      <c r="U15" s="37">
        <v>1000</v>
      </c>
      <c r="V15" s="36">
        <f>SUM(Tabla14[[#This Row],[ENE]:[DIC]])</f>
        <v>81000</v>
      </c>
    </row>
    <row r="16" spans="1:22" ht="48" x14ac:dyDescent="0.2">
      <c r="A16" s="62" t="s">
        <v>1058</v>
      </c>
      <c r="B16" s="61" t="s">
        <v>1057</v>
      </c>
      <c r="C16" s="59">
        <v>100</v>
      </c>
      <c r="D16" s="63" t="s">
        <v>1253</v>
      </c>
      <c r="E16" s="59">
        <v>500</v>
      </c>
      <c r="F16" s="20" t="s">
        <v>1059</v>
      </c>
      <c r="G16" s="59" t="s">
        <v>961</v>
      </c>
      <c r="H16" s="61" t="s">
        <v>1003</v>
      </c>
      <c r="I16" s="61" t="s">
        <v>1014</v>
      </c>
      <c r="J16" s="60">
        <v>500</v>
      </c>
      <c r="K16" s="60">
        <v>500</v>
      </c>
      <c r="L16" s="60">
        <v>500</v>
      </c>
      <c r="M16" s="60">
        <v>500</v>
      </c>
      <c r="N16" s="60">
        <v>500</v>
      </c>
      <c r="O16" s="60">
        <v>500</v>
      </c>
      <c r="P16" s="60">
        <v>500</v>
      </c>
      <c r="Q16" s="60">
        <v>500</v>
      </c>
      <c r="R16" s="60">
        <v>500</v>
      </c>
      <c r="S16" s="60">
        <v>500</v>
      </c>
      <c r="T16" s="60">
        <v>500</v>
      </c>
      <c r="U16" s="60">
        <v>500</v>
      </c>
      <c r="V16" s="74">
        <f>SUM(Tabla14[[#This Row],[ENE]:[DIC]])</f>
        <v>6000</v>
      </c>
    </row>
    <row r="17" spans="1:22" ht="60.75" thickBot="1" x14ac:dyDescent="0.25">
      <c r="A17" s="62" t="s">
        <v>1060</v>
      </c>
      <c r="B17" s="61" t="s">
        <v>1061</v>
      </c>
      <c r="C17" s="59">
        <v>100</v>
      </c>
      <c r="D17" s="63" t="s">
        <v>1243</v>
      </c>
      <c r="E17" s="59">
        <v>500</v>
      </c>
      <c r="F17" s="73" t="s">
        <v>1008</v>
      </c>
      <c r="G17" s="59" t="s">
        <v>961</v>
      </c>
      <c r="H17" s="61" t="s">
        <v>1003</v>
      </c>
      <c r="I17" s="61" t="s">
        <v>1014</v>
      </c>
      <c r="J17" s="60"/>
      <c r="K17" s="60"/>
      <c r="L17" s="60"/>
      <c r="M17" s="60"/>
      <c r="N17" s="60"/>
      <c r="O17" s="60">
        <v>7000</v>
      </c>
      <c r="P17" s="60"/>
      <c r="Q17" s="60">
        <v>0</v>
      </c>
      <c r="R17" s="60"/>
      <c r="S17" s="60"/>
      <c r="T17" s="60"/>
      <c r="U17" s="60">
        <v>7000</v>
      </c>
      <c r="V17" s="74">
        <f>SUM(Tabla14[[#This Row],[ENE]:[DIC]])</f>
        <v>14000</v>
      </c>
    </row>
    <row r="18" spans="1:22" ht="12.75" thickTop="1" x14ac:dyDescent="0.2">
      <c r="A18" s="67"/>
      <c r="B18" s="68"/>
      <c r="C18" s="68"/>
      <c r="D18" s="68"/>
      <c r="E18" s="68"/>
      <c r="F18" s="69"/>
      <c r="G18" s="69"/>
      <c r="H18" s="69"/>
      <c r="I18" s="69"/>
      <c r="J18" s="69"/>
      <c r="K18" s="69"/>
      <c r="L18" s="69"/>
      <c r="M18" s="69"/>
      <c r="N18" s="69"/>
      <c r="O18" s="69"/>
      <c r="P18" s="69"/>
      <c r="Q18" s="69"/>
      <c r="R18" s="69"/>
      <c r="S18" s="69"/>
      <c r="T18" s="69"/>
      <c r="U18" s="70" t="s">
        <v>9</v>
      </c>
      <c r="V18" s="71">
        <f>SUBTOTAL(109,Tabla14[TOTAL])</f>
        <v>101000</v>
      </c>
    </row>
  </sheetData>
  <sheetProtection formatColumns="0" formatRows="0"/>
  <mergeCells count="9">
    <mergeCell ref="B12:V12"/>
    <mergeCell ref="A1:F1"/>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55118110236220474" header="0.31496062992125984" footer="0.31496062992125984"/>
  <pageSetup paperSize="190" scale="56"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Metas!J2:J71</xm:f>
          </x14:formula1>
          <xm:sqref>I15:I17</xm:sqref>
        </x14:dataValidation>
        <x14:dataValidation type="list" allowBlank="1" showInputMessage="1" showErrorMessage="1">
          <x14:formula1>
            <xm:f>Metas!B2:B278</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3" tint="0.39997558519241921"/>
    <pageSetUpPr fitToPage="1"/>
  </sheetPr>
  <dimension ref="A1:V16"/>
  <sheetViews>
    <sheetView showGridLines="0" workbookViewId="0">
      <pane xSplit="1" ySplit="14" topLeftCell="J15" activePane="bottomRight" state="frozen"/>
      <selection pane="topRight" activeCell="B1" sqref="B1"/>
      <selection pane="bottomLeft" activeCell="A15" sqref="A15"/>
      <selection pane="bottomRight" activeCell="K33" sqref="K33"/>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1170</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1110</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1111</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1224</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1112</v>
      </c>
      <c r="C11" s="169"/>
      <c r="D11" s="169"/>
      <c r="E11" s="169"/>
      <c r="F11" s="158"/>
      <c r="G11" s="8" t="s">
        <v>3</v>
      </c>
      <c r="H11" s="157" t="s">
        <v>961</v>
      </c>
      <c r="I11" s="158"/>
      <c r="K11" s="159">
        <f>+Tabla14567891011[[#Totals],[TOTAL]]</f>
        <v>24000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75" thickBot="1" x14ac:dyDescent="0.25">
      <c r="A15" s="18" t="s">
        <v>1225</v>
      </c>
      <c r="B15" s="61" t="s">
        <v>1169</v>
      </c>
      <c r="C15" s="19">
        <v>100</v>
      </c>
      <c r="D15" s="19" t="s">
        <v>1270</v>
      </c>
      <c r="E15" s="66">
        <v>1</v>
      </c>
      <c r="F15" s="20" t="s">
        <v>1113</v>
      </c>
      <c r="G15" s="20" t="s">
        <v>961</v>
      </c>
      <c r="H15" s="61" t="s">
        <v>1003</v>
      </c>
      <c r="I15" s="61" t="s">
        <v>1014</v>
      </c>
      <c r="J15" s="37">
        <v>2000</v>
      </c>
      <c r="K15" s="37">
        <v>2000</v>
      </c>
      <c r="L15" s="37">
        <v>2000</v>
      </c>
      <c r="M15" s="37">
        <v>2000</v>
      </c>
      <c r="N15" s="37">
        <v>2000</v>
      </c>
      <c r="O15" s="37">
        <v>2000</v>
      </c>
      <c r="P15" s="37">
        <v>2000</v>
      </c>
      <c r="Q15" s="37">
        <v>2000</v>
      </c>
      <c r="R15" s="37">
        <v>2000</v>
      </c>
      <c r="S15" s="37">
        <v>2000</v>
      </c>
      <c r="T15" s="37">
        <v>2000</v>
      </c>
      <c r="U15" s="37">
        <v>2000</v>
      </c>
      <c r="V15" s="36">
        <f>SUM(Tabla14567891011[[#This Row],[ENE]:[DIC]])</f>
        <v>24000</v>
      </c>
    </row>
    <row r="16" spans="1:22" ht="12.75" thickTop="1" x14ac:dyDescent="0.2">
      <c r="A16" s="67"/>
      <c r="B16" s="68"/>
      <c r="C16" s="68"/>
      <c r="D16" s="68"/>
      <c r="E16" s="68"/>
      <c r="F16" s="69"/>
      <c r="G16" s="69"/>
      <c r="H16" s="69"/>
      <c r="I16" s="69"/>
      <c r="J16" s="69"/>
      <c r="K16" s="69"/>
      <c r="L16" s="69"/>
      <c r="M16" s="69"/>
      <c r="N16" s="69"/>
      <c r="O16" s="69"/>
      <c r="P16" s="69"/>
      <c r="Q16" s="69"/>
      <c r="R16" s="69"/>
      <c r="S16" s="69"/>
      <c r="T16" s="69"/>
      <c r="U16" s="70" t="s">
        <v>9</v>
      </c>
      <c r="V16" s="71">
        <f>SUBTOTAL(109,Tabla14567891011[TOTAL])</f>
        <v>24000</v>
      </c>
    </row>
  </sheetData>
  <sheetProtection formatColumns="0" formatRows="0"/>
  <mergeCells count="9">
    <mergeCell ref="B12:V12"/>
    <mergeCell ref="A1:F1"/>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3" tint="0.39997558519241921"/>
    <pageSetUpPr fitToPage="1"/>
  </sheetPr>
  <dimension ref="A1:V18"/>
  <sheetViews>
    <sheetView showGridLines="0" workbookViewId="0">
      <pane xSplit="1" ySplit="14" topLeftCell="I15" activePane="bottomRight" state="frozen"/>
      <selection pane="topRight" activeCell="B1" sqref="B1"/>
      <selection pane="bottomLeft" activeCell="A15" sqref="A15"/>
      <selection pane="bottomRight" activeCell="K25" sqref="K25"/>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1078</v>
      </c>
      <c r="C3" s="164"/>
      <c r="D3" s="164"/>
      <c r="E3" s="164"/>
      <c r="F3" s="164"/>
      <c r="G3" s="164"/>
      <c r="H3" s="164"/>
      <c r="I3" s="164"/>
      <c r="J3" s="164"/>
      <c r="K3" s="164"/>
      <c r="L3" s="164"/>
      <c r="M3" s="164"/>
      <c r="N3" s="164"/>
      <c r="O3" s="165"/>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1075</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1076</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1077</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1079</v>
      </c>
      <c r="C11" s="169"/>
      <c r="D11" s="169"/>
      <c r="E11" s="169"/>
      <c r="F11" s="158"/>
      <c r="G11" s="8" t="s">
        <v>3</v>
      </c>
      <c r="H11" s="157" t="s">
        <v>961</v>
      </c>
      <c r="I11" s="158"/>
      <c r="K11" s="159">
        <f>+Tabla145678[[#Totals],[TOTAL]]</f>
        <v>32400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1080</v>
      </c>
      <c r="B15" s="61" t="s">
        <v>1081</v>
      </c>
      <c r="C15" s="19">
        <v>100</v>
      </c>
      <c r="D15" s="19" t="s">
        <v>1243</v>
      </c>
      <c r="E15" s="66">
        <v>500</v>
      </c>
      <c r="F15" s="20" t="s">
        <v>1008</v>
      </c>
      <c r="G15" s="20" t="s">
        <v>961</v>
      </c>
      <c r="H15" s="61" t="s">
        <v>1003</v>
      </c>
      <c r="I15" s="61" t="s">
        <v>1014</v>
      </c>
      <c r="J15" s="37">
        <v>1050</v>
      </c>
      <c r="K15" s="37">
        <v>1050</v>
      </c>
      <c r="L15" s="37">
        <v>1050</v>
      </c>
      <c r="M15" s="37">
        <v>1050</v>
      </c>
      <c r="N15" s="37">
        <v>1050</v>
      </c>
      <c r="O15" s="37">
        <v>1050</v>
      </c>
      <c r="P15" s="37">
        <v>1050</v>
      </c>
      <c r="Q15" s="37">
        <v>1050</v>
      </c>
      <c r="R15" s="37">
        <v>1050</v>
      </c>
      <c r="S15" s="37">
        <v>1050</v>
      </c>
      <c r="T15" s="37">
        <v>1050</v>
      </c>
      <c r="U15" s="37">
        <v>1050</v>
      </c>
      <c r="V15" s="36">
        <f>SUM(Tabla145678[[#This Row],[ENE]:[DIC]])</f>
        <v>12600</v>
      </c>
    </row>
    <row r="16" spans="1:22" ht="60" x14ac:dyDescent="0.2">
      <c r="A16" s="62" t="s">
        <v>1204</v>
      </c>
      <c r="B16" s="61" t="s">
        <v>1081</v>
      </c>
      <c r="C16" s="59">
        <v>100</v>
      </c>
      <c r="D16" s="63" t="s">
        <v>1252</v>
      </c>
      <c r="E16" s="59">
        <v>500</v>
      </c>
      <c r="F16" s="73" t="s">
        <v>1008</v>
      </c>
      <c r="G16" s="63" t="s">
        <v>961</v>
      </c>
      <c r="H16" s="61" t="s">
        <v>1003</v>
      </c>
      <c r="I16" s="61" t="s">
        <v>1014</v>
      </c>
      <c r="J16" s="60">
        <v>1650</v>
      </c>
      <c r="K16" s="60">
        <v>1650</v>
      </c>
      <c r="L16" s="60">
        <v>1650</v>
      </c>
      <c r="M16" s="60">
        <v>1650</v>
      </c>
      <c r="N16" s="60">
        <v>1650</v>
      </c>
      <c r="O16" s="60">
        <v>1650</v>
      </c>
      <c r="P16" s="60">
        <v>1650</v>
      </c>
      <c r="Q16" s="60">
        <v>1650</v>
      </c>
      <c r="R16" s="60">
        <v>1650</v>
      </c>
      <c r="S16" s="60">
        <v>1650</v>
      </c>
      <c r="T16" s="60">
        <v>1650</v>
      </c>
      <c r="U16" s="60">
        <v>1650</v>
      </c>
      <c r="V16" s="74">
        <f>SUM(Tabla145678[[#This Row],[ENE]:[DIC]])</f>
        <v>19800</v>
      </c>
    </row>
    <row r="17" spans="1:22" ht="60.75" thickBot="1" x14ac:dyDescent="0.25">
      <c r="A17" s="62" t="s">
        <v>1082</v>
      </c>
      <c r="B17" s="61" t="s">
        <v>1083</v>
      </c>
      <c r="C17" s="59">
        <v>100</v>
      </c>
      <c r="D17" s="59"/>
      <c r="E17" s="59">
        <v>20</v>
      </c>
      <c r="F17" s="73" t="s">
        <v>1008</v>
      </c>
      <c r="G17" s="63" t="s">
        <v>961</v>
      </c>
      <c r="H17" s="61" t="s">
        <v>1003</v>
      </c>
      <c r="I17" s="61" t="s">
        <v>1205</v>
      </c>
      <c r="J17" s="60"/>
      <c r="K17" s="60"/>
      <c r="L17" s="60"/>
      <c r="M17" s="60"/>
      <c r="N17" s="60"/>
      <c r="O17" s="60"/>
      <c r="P17" s="60"/>
      <c r="Q17" s="60">
        <v>0</v>
      </c>
      <c r="R17" s="60"/>
      <c r="S17" s="60"/>
      <c r="T17" s="60"/>
      <c r="U17" s="60"/>
      <c r="V17" s="74">
        <f>SUM(Tabla145678[[#This Row],[ENE]:[DIC]])</f>
        <v>0</v>
      </c>
    </row>
    <row r="18" spans="1:22" ht="12.75" thickTop="1" x14ac:dyDescent="0.2">
      <c r="A18" s="67"/>
      <c r="B18" s="68"/>
      <c r="C18" s="68"/>
      <c r="D18" s="68"/>
      <c r="E18" s="68"/>
      <c r="F18" s="69"/>
      <c r="G18" s="69"/>
      <c r="H18" s="69"/>
      <c r="I18" s="69"/>
      <c r="J18" s="69"/>
      <c r="K18" s="69"/>
      <c r="L18" s="69"/>
      <c r="M18" s="69"/>
      <c r="N18" s="69"/>
      <c r="O18" s="69"/>
      <c r="P18" s="69"/>
      <c r="Q18" s="69"/>
      <c r="R18" s="69"/>
      <c r="S18" s="69"/>
      <c r="T18" s="69"/>
      <c r="U18" s="70" t="s">
        <v>9</v>
      </c>
      <c r="V18" s="71">
        <f>SUBTOTAL(109,Tabla145678[TOTAL])</f>
        <v>32400</v>
      </c>
    </row>
  </sheetData>
  <sheetProtection formatColumns="0" formatRows="0"/>
  <mergeCells count="9">
    <mergeCell ref="B12:V12"/>
    <mergeCell ref="A1:F1"/>
    <mergeCell ref="B5:L5"/>
    <mergeCell ref="B7:L7"/>
    <mergeCell ref="B9:L9"/>
    <mergeCell ref="B11:F11"/>
    <mergeCell ref="H11:I11"/>
    <mergeCell ref="K11:L11"/>
    <mergeCell ref="B3:O3"/>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39997558519241921"/>
    <pageSetUpPr fitToPage="1"/>
  </sheetPr>
  <dimension ref="A1:V16"/>
  <sheetViews>
    <sheetView showGridLines="0" workbookViewId="0">
      <pane xSplit="1" ySplit="14" topLeftCell="J15" activePane="bottomRight" state="frozen"/>
      <selection pane="topRight" activeCell="B1" sqref="B1"/>
      <selection pane="bottomLeft" activeCell="A15" sqref="A15"/>
      <selection pane="bottomRight" activeCell="K15" sqref="K15"/>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1222</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1114</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1115</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1116</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1117</v>
      </c>
      <c r="C11" s="169"/>
      <c r="D11" s="169"/>
      <c r="E11" s="169"/>
      <c r="F11" s="158"/>
      <c r="G11" s="8" t="s">
        <v>3</v>
      </c>
      <c r="H11" s="157" t="s">
        <v>961</v>
      </c>
      <c r="I11" s="158"/>
      <c r="K11" s="159">
        <f>+Tabla14567891011121314[[#Totals],[TOTAL]]</f>
        <v>18000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75" thickBot="1" x14ac:dyDescent="0.25">
      <c r="A15" s="18" t="s">
        <v>1118</v>
      </c>
      <c r="B15" s="61" t="s">
        <v>1223</v>
      </c>
      <c r="C15" s="19">
        <v>100</v>
      </c>
      <c r="D15" s="19" t="s">
        <v>1271</v>
      </c>
      <c r="E15" s="66">
        <v>2</v>
      </c>
      <c r="F15" s="20" t="s">
        <v>1119</v>
      </c>
      <c r="G15" s="20" t="s">
        <v>961</v>
      </c>
      <c r="H15" s="61" t="s">
        <v>1003</v>
      </c>
      <c r="I15" s="61" t="s">
        <v>1014</v>
      </c>
      <c r="J15" s="37">
        <v>1500</v>
      </c>
      <c r="K15" s="37">
        <v>1500</v>
      </c>
      <c r="L15" s="37">
        <v>1500</v>
      </c>
      <c r="M15" s="37">
        <v>1500</v>
      </c>
      <c r="N15" s="37">
        <v>1500</v>
      </c>
      <c r="O15" s="37">
        <v>1500</v>
      </c>
      <c r="P15" s="37">
        <v>1500</v>
      </c>
      <c r="Q15" s="37">
        <v>1500</v>
      </c>
      <c r="R15" s="37">
        <v>1500</v>
      </c>
      <c r="S15" s="37">
        <v>1500</v>
      </c>
      <c r="T15" s="37">
        <v>1500</v>
      </c>
      <c r="U15" s="37">
        <v>1500</v>
      </c>
      <c r="V15" s="36">
        <f>SUM(Tabla14567891011121314[[#This Row],[ENE]:[DIC]])</f>
        <v>18000</v>
      </c>
    </row>
    <row r="16" spans="1:22" ht="12.75" thickTop="1" x14ac:dyDescent="0.2">
      <c r="A16" s="67"/>
      <c r="B16" s="68"/>
      <c r="C16" s="68"/>
      <c r="D16" s="68"/>
      <c r="E16" s="68"/>
      <c r="F16" s="69"/>
      <c r="G16" s="69"/>
      <c r="H16" s="69"/>
      <c r="I16" s="69"/>
      <c r="J16" s="69"/>
      <c r="K16" s="69"/>
      <c r="L16" s="69"/>
      <c r="M16" s="69"/>
      <c r="N16" s="69"/>
      <c r="O16" s="69"/>
      <c r="P16" s="69"/>
      <c r="Q16" s="69"/>
      <c r="R16" s="69"/>
      <c r="S16" s="69"/>
      <c r="T16" s="69"/>
      <c r="U16" s="70" t="s">
        <v>9</v>
      </c>
      <c r="V16" s="71">
        <f>SUBTOTAL(109,Tabla14567891011121314[TOTAL])</f>
        <v>18000</v>
      </c>
    </row>
  </sheetData>
  <sheetProtection formatColumns="0" formatRows="0"/>
  <mergeCells count="9">
    <mergeCell ref="B12:V12"/>
    <mergeCell ref="A1:F1"/>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3" tint="0.39997558519241921"/>
    <pageSetUpPr fitToPage="1"/>
  </sheetPr>
  <dimension ref="A1:V18"/>
  <sheetViews>
    <sheetView showGridLines="0" workbookViewId="0">
      <pane xSplit="1" ySplit="14" topLeftCell="B15" activePane="bottomRight" state="frozen"/>
      <selection pane="topRight" activeCell="B1" sqref="B1"/>
      <selection pane="bottomLeft" activeCell="A15" sqref="A15"/>
      <selection pane="bottomRight" activeCell="G23" sqref="G23"/>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1277</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1183</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1039</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1037</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1038</v>
      </c>
      <c r="C11" s="169"/>
      <c r="D11" s="169"/>
      <c r="E11" s="169"/>
      <c r="F11" s="158"/>
      <c r="G11" s="8" t="s">
        <v>3</v>
      </c>
      <c r="H11" s="157" t="s">
        <v>961</v>
      </c>
      <c r="I11" s="158"/>
      <c r="K11" s="159">
        <f>+Tabla1456789101112131415161718192021[[#Totals],[TOTAL]]</f>
        <v>24000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1005</v>
      </c>
      <c r="B15" s="61" t="s">
        <v>1040</v>
      </c>
      <c r="C15" s="19">
        <v>100</v>
      </c>
      <c r="D15" s="19"/>
      <c r="E15" s="66">
        <v>100</v>
      </c>
      <c r="F15" s="20" t="s">
        <v>1038</v>
      </c>
      <c r="G15" s="20" t="s">
        <v>1041</v>
      </c>
      <c r="H15" s="61" t="s">
        <v>1003</v>
      </c>
      <c r="I15" s="61" t="s">
        <v>867</v>
      </c>
      <c r="J15" s="37"/>
      <c r="K15" s="37"/>
      <c r="L15" s="37"/>
      <c r="M15" s="37"/>
      <c r="N15" s="37"/>
      <c r="O15" s="37"/>
      <c r="P15" s="37"/>
      <c r="Q15" s="37"/>
      <c r="R15" s="37"/>
      <c r="S15" s="37"/>
      <c r="T15" s="37"/>
      <c r="U15" s="37"/>
      <c r="V15" s="36">
        <f>SUM(Tabla1456789101112131415161718192021[[#This Row],[ENE]:[DIC]])</f>
        <v>0</v>
      </c>
    </row>
    <row r="16" spans="1:22" ht="36" x14ac:dyDescent="0.2">
      <c r="A16" s="62" t="s">
        <v>1042</v>
      </c>
      <c r="B16" s="61" t="s">
        <v>1043</v>
      </c>
      <c r="C16" s="59">
        <v>80</v>
      </c>
      <c r="D16" s="59"/>
      <c r="E16" s="59">
        <v>5</v>
      </c>
      <c r="F16" s="73"/>
      <c r="G16" s="63" t="s">
        <v>1041</v>
      </c>
      <c r="H16" s="61" t="s">
        <v>1003</v>
      </c>
      <c r="I16" s="61" t="s">
        <v>867</v>
      </c>
      <c r="J16" s="60"/>
      <c r="K16" s="60"/>
      <c r="L16" s="60"/>
      <c r="M16" s="60"/>
      <c r="N16" s="60"/>
      <c r="O16" s="60"/>
      <c r="P16" s="60"/>
      <c r="Q16" s="60"/>
      <c r="R16" s="60"/>
      <c r="S16" s="60"/>
      <c r="T16" s="60"/>
      <c r="U16" s="60"/>
      <c r="V16" s="74">
        <f>SUM(Tabla1456789101112131415161718192021[[#This Row],[ENE]:[DIC]])</f>
        <v>0</v>
      </c>
    </row>
    <row r="17" spans="1:22" ht="60.75" thickBot="1" x14ac:dyDescent="0.25">
      <c r="A17" s="62" t="s">
        <v>1044</v>
      </c>
      <c r="B17" s="61" t="s">
        <v>1184</v>
      </c>
      <c r="C17" s="59">
        <v>100</v>
      </c>
      <c r="D17" s="63" t="s">
        <v>1249</v>
      </c>
      <c r="E17" s="59">
        <v>100</v>
      </c>
      <c r="F17" s="64" t="s">
        <v>1038</v>
      </c>
      <c r="G17" s="63" t="s">
        <v>1041</v>
      </c>
      <c r="H17" s="61" t="s">
        <v>1003</v>
      </c>
      <c r="I17" s="61" t="s">
        <v>1014</v>
      </c>
      <c r="J17" s="60">
        <v>2000</v>
      </c>
      <c r="K17" s="60">
        <v>2000</v>
      </c>
      <c r="L17" s="60">
        <v>2000</v>
      </c>
      <c r="M17" s="60">
        <v>2000</v>
      </c>
      <c r="N17" s="60">
        <v>2000</v>
      </c>
      <c r="O17" s="60">
        <v>2000</v>
      </c>
      <c r="P17" s="60">
        <v>2000</v>
      </c>
      <c r="Q17" s="60">
        <v>2000</v>
      </c>
      <c r="R17" s="60">
        <v>2000</v>
      </c>
      <c r="S17" s="60">
        <v>2000</v>
      </c>
      <c r="T17" s="60">
        <v>2000</v>
      </c>
      <c r="U17" s="60">
        <v>2000</v>
      </c>
      <c r="V17" s="74">
        <f>SUM(Tabla1456789101112131415161718192021[[#This Row],[ENE]:[DIC]])</f>
        <v>24000</v>
      </c>
    </row>
    <row r="18" spans="1:22" ht="12.75" thickTop="1" x14ac:dyDescent="0.2">
      <c r="A18" s="67"/>
      <c r="B18" s="68"/>
      <c r="C18" s="68"/>
      <c r="D18" s="68"/>
      <c r="E18" s="68"/>
      <c r="F18" s="69"/>
      <c r="G18" s="69"/>
      <c r="H18" s="69"/>
      <c r="I18" s="69"/>
      <c r="J18" s="69"/>
      <c r="K18" s="69"/>
      <c r="L18" s="69"/>
      <c r="M18" s="69"/>
      <c r="N18" s="69"/>
      <c r="O18" s="69"/>
      <c r="P18" s="69"/>
      <c r="Q18" s="69"/>
      <c r="R18" s="69"/>
      <c r="S18" s="69"/>
      <c r="T18" s="69"/>
      <c r="U18" s="70" t="s">
        <v>9</v>
      </c>
      <c r="V18" s="71">
        <f>SUBTOTAL(109,Tabla1456789101112131415161718192021[TOTAL])</f>
        <v>24000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3" tint="0.39997558519241921"/>
    <pageSetUpPr fitToPage="1"/>
  </sheetPr>
  <dimension ref="A1:V18"/>
  <sheetViews>
    <sheetView showGridLines="0" workbookViewId="0">
      <pane xSplit="1" ySplit="14" topLeftCell="B15" activePane="bottomRight" state="frozen"/>
      <selection pane="topRight" activeCell="B1" sqref="B1"/>
      <selection pane="bottomLeft" activeCell="A15" sqref="A15"/>
      <selection pane="bottomRight" activeCell="K15" sqref="K15"/>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45" t="s">
        <v>1161</v>
      </c>
      <c r="C3" s="146"/>
      <c r="D3" s="146"/>
      <c r="E3" s="146"/>
      <c r="F3" s="146"/>
      <c r="G3" s="146"/>
      <c r="H3" s="147"/>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1084</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1085</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1160</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1086</v>
      </c>
      <c r="C11" s="169"/>
      <c r="D11" s="169"/>
      <c r="E11" s="169"/>
      <c r="F11" s="158"/>
      <c r="G11" s="8" t="s">
        <v>3</v>
      </c>
      <c r="H11" s="157" t="s">
        <v>1041</v>
      </c>
      <c r="I11" s="158"/>
      <c r="K11" s="159">
        <f>+Tabla1456789[[#Totals],[TOTAL]]</f>
        <v>534330.82000000007</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1013</v>
      </c>
      <c r="B15" s="61" t="s">
        <v>1190</v>
      </c>
      <c r="C15" s="19">
        <v>100</v>
      </c>
      <c r="D15" s="19" t="s">
        <v>1247</v>
      </c>
      <c r="E15" s="66">
        <v>8</v>
      </c>
      <c r="F15" s="20" t="s">
        <v>1088</v>
      </c>
      <c r="G15" s="20" t="s">
        <v>961</v>
      </c>
      <c r="H15" s="61" t="s">
        <v>1003</v>
      </c>
      <c r="I15" s="61" t="s">
        <v>1014</v>
      </c>
      <c r="J15" s="37">
        <v>20000</v>
      </c>
      <c r="K15" s="37">
        <v>20000</v>
      </c>
      <c r="L15" s="37">
        <v>20000</v>
      </c>
      <c r="M15" s="37">
        <v>20000</v>
      </c>
      <c r="N15" s="37">
        <v>20000</v>
      </c>
      <c r="O15" s="37">
        <v>20000</v>
      </c>
      <c r="P15" s="37">
        <v>20000</v>
      </c>
      <c r="Q15" s="37">
        <v>40000</v>
      </c>
      <c r="R15" s="37">
        <v>20000</v>
      </c>
      <c r="S15" s="37">
        <v>20000</v>
      </c>
      <c r="T15" s="37">
        <v>20000</v>
      </c>
      <c r="U15" s="37">
        <v>40000</v>
      </c>
      <c r="V15" s="36">
        <f>SUM(Tabla1456789[[#This Row],[ENE]:[DIC]])</f>
        <v>280000</v>
      </c>
    </row>
    <row r="16" spans="1:22" ht="48" x14ac:dyDescent="0.2">
      <c r="A16" s="62" t="s">
        <v>1087</v>
      </c>
      <c r="B16" s="61" t="s">
        <v>1162</v>
      </c>
      <c r="C16" s="59">
        <v>100</v>
      </c>
      <c r="D16" s="63" t="s">
        <v>1248</v>
      </c>
      <c r="E16" s="59">
        <v>60</v>
      </c>
      <c r="F16" s="20" t="s">
        <v>1089</v>
      </c>
      <c r="G16" s="63" t="s">
        <v>961</v>
      </c>
      <c r="H16" s="61" t="s">
        <v>1003</v>
      </c>
      <c r="I16" s="61" t="s">
        <v>1141</v>
      </c>
      <c r="J16" s="60">
        <v>15000</v>
      </c>
      <c r="K16" s="60">
        <v>15000</v>
      </c>
      <c r="L16" s="60">
        <v>15000</v>
      </c>
      <c r="M16" s="60">
        <v>15000</v>
      </c>
      <c r="N16" s="60">
        <v>15000</v>
      </c>
      <c r="O16" s="60">
        <v>15000</v>
      </c>
      <c r="P16" s="60">
        <v>15000</v>
      </c>
      <c r="Q16" s="60">
        <v>15000</v>
      </c>
      <c r="R16" s="60">
        <v>15000</v>
      </c>
      <c r="S16" s="60">
        <v>15000</v>
      </c>
      <c r="T16" s="60">
        <v>15000</v>
      </c>
      <c r="U16" s="60">
        <v>15000</v>
      </c>
      <c r="V16" s="74">
        <f>SUM(Tabla1456789[[#This Row],[ENE]:[DIC]])</f>
        <v>180000</v>
      </c>
    </row>
    <row r="17" spans="1:22" ht="48.75" thickBot="1" x14ac:dyDescent="0.25">
      <c r="A17" s="62" t="s">
        <v>1191</v>
      </c>
      <c r="B17" s="61" t="s">
        <v>1192</v>
      </c>
      <c r="C17" s="59">
        <v>100</v>
      </c>
      <c r="D17" s="63" t="s">
        <v>1272</v>
      </c>
      <c r="E17" s="59">
        <v>100</v>
      </c>
      <c r="F17" s="20" t="s">
        <v>1193</v>
      </c>
      <c r="G17" s="63" t="s">
        <v>961</v>
      </c>
      <c r="H17" s="61" t="s">
        <v>1003</v>
      </c>
      <c r="I17" s="61" t="s">
        <v>1014</v>
      </c>
      <c r="J17" s="60">
        <f>25000+4830.82</f>
        <v>29830.82</v>
      </c>
      <c r="K17" s="60">
        <v>20000</v>
      </c>
      <c r="L17" s="60">
        <v>20000</v>
      </c>
      <c r="M17" s="60">
        <v>500</v>
      </c>
      <c r="N17" s="60">
        <v>500</v>
      </c>
      <c r="O17" s="60">
        <v>500</v>
      </c>
      <c r="P17" s="60">
        <v>500</v>
      </c>
      <c r="Q17" s="60">
        <v>500</v>
      </c>
      <c r="R17" s="60">
        <v>500</v>
      </c>
      <c r="S17" s="60">
        <v>500</v>
      </c>
      <c r="T17" s="60">
        <v>500</v>
      </c>
      <c r="U17" s="60">
        <v>500</v>
      </c>
      <c r="V17" s="74">
        <f>SUM(Tabla1456789[[#This Row],[ENE]:[DIC]])</f>
        <v>74330.820000000007</v>
      </c>
    </row>
    <row r="18" spans="1:22" ht="12.75" thickTop="1" x14ac:dyDescent="0.2">
      <c r="A18" s="67"/>
      <c r="B18" s="68"/>
      <c r="C18" s="68"/>
      <c r="D18" s="68"/>
      <c r="E18" s="68"/>
      <c r="F18" s="69"/>
      <c r="G18" s="69"/>
      <c r="H18" s="69"/>
      <c r="I18" s="69"/>
      <c r="J18" s="69"/>
      <c r="K18" s="69"/>
      <c r="L18" s="69"/>
      <c r="M18" s="69"/>
      <c r="N18" s="69"/>
      <c r="O18" s="69"/>
      <c r="P18" s="69"/>
      <c r="Q18" s="69"/>
      <c r="R18" s="69"/>
      <c r="S18" s="69"/>
      <c r="T18" s="69"/>
      <c r="U18" s="70" t="s">
        <v>9</v>
      </c>
      <c r="V18" s="71">
        <f>SUBTOTAL(109,Tabla1456789[TOTAL])</f>
        <v>534330.82000000007</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3" tint="0.39997558519241921"/>
    <pageSetUpPr fitToPage="1"/>
  </sheetPr>
  <dimension ref="A1:V17"/>
  <sheetViews>
    <sheetView showGridLines="0" workbookViewId="0">
      <pane xSplit="1" ySplit="14" topLeftCell="J15" activePane="bottomRight" state="frozen"/>
      <selection pane="topRight" activeCell="B1" sqref="B1"/>
      <selection pane="bottomLeft" activeCell="A15" sqref="A15"/>
      <selection pane="bottomRight" activeCell="O28" sqref="O28"/>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1187</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1090</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1092</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1091</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1008</v>
      </c>
      <c r="C11" s="169"/>
      <c r="D11" s="169"/>
      <c r="E11" s="169"/>
      <c r="F11" s="158"/>
      <c r="G11" s="8" t="s">
        <v>3</v>
      </c>
      <c r="H11" s="157" t="s">
        <v>961</v>
      </c>
      <c r="I11" s="158"/>
      <c r="K11" s="159">
        <f>+Tabla145678910111213[[#Totals],[TOTAL]]</f>
        <v>48000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1005</v>
      </c>
      <c r="B15" s="61" t="s">
        <v>1188</v>
      </c>
      <c r="C15" s="19">
        <v>100</v>
      </c>
      <c r="D15" s="19" t="s">
        <v>1250</v>
      </c>
      <c r="E15" s="66">
        <v>1</v>
      </c>
      <c r="F15" s="20" t="s">
        <v>1008</v>
      </c>
      <c r="G15" s="20" t="s">
        <v>961</v>
      </c>
      <c r="H15" s="61" t="s">
        <v>1003</v>
      </c>
      <c r="I15" s="61" t="s">
        <v>1014</v>
      </c>
      <c r="J15" s="37">
        <v>4000</v>
      </c>
      <c r="K15" s="37">
        <v>4000</v>
      </c>
      <c r="L15" s="37">
        <v>4000</v>
      </c>
      <c r="M15" s="37">
        <v>4000</v>
      </c>
      <c r="N15" s="37">
        <v>4000</v>
      </c>
      <c r="O15" s="37">
        <v>4000</v>
      </c>
      <c r="P15" s="37">
        <v>4000</v>
      </c>
      <c r="Q15" s="37">
        <v>4000</v>
      </c>
      <c r="R15" s="37">
        <v>4000</v>
      </c>
      <c r="S15" s="37">
        <v>4000</v>
      </c>
      <c r="T15" s="37">
        <v>4000</v>
      </c>
      <c r="U15" s="37">
        <v>4000</v>
      </c>
      <c r="V15" s="36">
        <f>SUM(Tabla145678910111213[[#This Row],[ENE]:[DIC]])</f>
        <v>48000</v>
      </c>
    </row>
    <row r="16" spans="1:22" ht="12.75" thickBot="1" x14ac:dyDescent="0.25">
      <c r="A16" s="72"/>
      <c r="B16" s="61"/>
      <c r="C16" s="59"/>
      <c r="D16" s="59"/>
      <c r="E16" s="59"/>
      <c r="F16" s="73"/>
      <c r="G16" s="59"/>
      <c r="H16" s="61"/>
      <c r="I16" s="61"/>
      <c r="J16" s="60"/>
      <c r="K16" s="60"/>
      <c r="L16" s="60"/>
      <c r="M16" s="60"/>
      <c r="N16" s="60"/>
      <c r="O16" s="60"/>
      <c r="P16" s="60"/>
      <c r="Q16" s="60"/>
      <c r="R16" s="60"/>
      <c r="S16" s="60"/>
      <c r="T16" s="60"/>
      <c r="U16" s="60"/>
      <c r="V16" s="74"/>
    </row>
    <row r="17" spans="1:22" ht="12.75" thickTop="1" x14ac:dyDescent="0.2">
      <c r="A17" s="67"/>
      <c r="B17" s="68"/>
      <c r="C17" s="68"/>
      <c r="D17" s="68"/>
      <c r="E17" s="68"/>
      <c r="F17" s="69"/>
      <c r="G17" s="69"/>
      <c r="H17" s="69"/>
      <c r="I17" s="69"/>
      <c r="J17" s="69"/>
      <c r="K17" s="69"/>
      <c r="L17" s="69"/>
      <c r="M17" s="69"/>
      <c r="N17" s="69"/>
      <c r="O17" s="69"/>
      <c r="P17" s="69"/>
      <c r="Q17" s="69"/>
      <c r="R17" s="69"/>
      <c r="S17" s="69"/>
      <c r="T17" s="69"/>
      <c r="U17" s="70" t="s">
        <v>9</v>
      </c>
      <c r="V17" s="71">
        <f>SUBTOTAL(109,Tabla145678910111213[TOTAL])</f>
        <v>48000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0.27559055118110237" right="0.27559055118110237" top="0.35433070866141736" bottom="0.35433070866141736" header="0.31496062992125984" footer="0.31496062992125984"/>
  <pageSetup paperSize="190" scale="55"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28:S29"/>
  <sheetViews>
    <sheetView workbookViewId="0">
      <selection activeCell="E27" sqref="E27"/>
    </sheetView>
  </sheetViews>
  <sheetFormatPr baseColWidth="10" defaultRowHeight="15" x14ac:dyDescent="0.25"/>
  <sheetData>
    <row r="28" spans="2:19" ht="27.75" x14ac:dyDescent="0.4">
      <c r="E28" s="136" t="s">
        <v>1275</v>
      </c>
      <c r="F28" s="136"/>
      <c r="G28" s="136"/>
      <c r="H28" s="136"/>
      <c r="I28" s="136"/>
      <c r="J28" s="136"/>
      <c r="K28" s="136"/>
      <c r="L28" s="136"/>
      <c r="M28" s="136"/>
    </row>
    <row r="29" spans="2:19" ht="27.75" x14ac:dyDescent="0.25">
      <c r="B29" s="137" t="s">
        <v>1229</v>
      </c>
      <c r="C29" s="138"/>
      <c r="D29" s="138"/>
      <c r="E29" s="138"/>
      <c r="F29" s="138"/>
      <c r="G29" s="138"/>
      <c r="H29" s="138"/>
      <c r="I29" s="138"/>
      <c r="J29" s="138"/>
      <c r="K29" s="138"/>
      <c r="L29" s="138"/>
      <c r="M29" s="138"/>
      <c r="N29" s="138"/>
      <c r="O29" s="138"/>
      <c r="P29" s="138"/>
      <c r="Q29" s="138"/>
      <c r="R29" s="138"/>
      <c r="S29" s="138"/>
    </row>
  </sheetData>
  <mergeCells count="2">
    <mergeCell ref="E28:M28"/>
    <mergeCell ref="B29:S29"/>
  </mergeCells>
  <printOptions horizontalCentered="1" verticalCentered="1"/>
  <pageMargins left="0.70866141732283472" right="0.70866141732283472" top="0.74803149606299213" bottom="0.74803149606299213" header="0.31496062992125984" footer="0.31496062992125984"/>
  <pageSetup paperSize="190" scale="67" orientation="landscape" verticalDpi="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3" tint="0.39997558519241921"/>
    <pageSetUpPr fitToPage="1"/>
  </sheetPr>
  <dimension ref="A1:V20"/>
  <sheetViews>
    <sheetView showGridLines="0" workbookViewId="0">
      <pane xSplit="1" ySplit="14" topLeftCell="J17" activePane="bottomRight" state="frozen"/>
      <selection pane="topRight" activeCell="B1" sqref="B1"/>
      <selection pane="bottomLeft" activeCell="A15" sqref="A15"/>
      <selection pane="bottomRight" activeCell="M24" sqref="M24"/>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1062</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1063</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1064</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1065</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1008</v>
      </c>
      <c r="C11" s="169"/>
      <c r="D11" s="169"/>
      <c r="E11" s="169"/>
      <c r="F11" s="158"/>
      <c r="G11" s="8" t="s">
        <v>3</v>
      </c>
      <c r="H11" s="157" t="s">
        <v>961</v>
      </c>
      <c r="I11" s="158"/>
      <c r="K11" s="159">
        <f>+Tabla14567[[#Totals],[TOTAL]]</f>
        <v>71000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1066</v>
      </c>
      <c r="B15" s="61" t="s">
        <v>1067</v>
      </c>
      <c r="C15" s="19">
        <v>100</v>
      </c>
      <c r="D15" s="19" t="s">
        <v>1273</v>
      </c>
      <c r="E15" s="66">
        <v>700</v>
      </c>
      <c r="F15" s="20" t="s">
        <v>1008</v>
      </c>
      <c r="G15" s="20" t="s">
        <v>961</v>
      </c>
      <c r="H15" s="61" t="s">
        <v>1003</v>
      </c>
      <c r="I15" s="61" t="s">
        <v>1014</v>
      </c>
      <c r="J15" s="37">
        <v>1000</v>
      </c>
      <c r="K15" s="37">
        <v>1000</v>
      </c>
      <c r="L15" s="37">
        <v>1000</v>
      </c>
      <c r="M15" s="37">
        <v>1000</v>
      </c>
      <c r="N15" s="37">
        <v>1000</v>
      </c>
      <c r="O15" s="37">
        <v>1000</v>
      </c>
      <c r="P15" s="37">
        <v>1000</v>
      </c>
      <c r="Q15" s="37">
        <v>1000</v>
      </c>
      <c r="R15" s="37">
        <v>1000</v>
      </c>
      <c r="S15" s="37">
        <v>1000</v>
      </c>
      <c r="T15" s="37">
        <v>1000</v>
      </c>
      <c r="U15" s="37">
        <v>1000</v>
      </c>
      <c r="V15" s="36">
        <f>SUM(Tabla14567[[#This Row],[ENE]:[DIC]])</f>
        <v>12000</v>
      </c>
    </row>
    <row r="16" spans="1:22" ht="60" x14ac:dyDescent="0.2">
      <c r="A16" s="62" t="s">
        <v>1068</v>
      </c>
      <c r="B16" s="61" t="s">
        <v>1069</v>
      </c>
      <c r="C16" s="59">
        <v>100</v>
      </c>
      <c r="D16" s="59"/>
      <c r="E16" s="59">
        <v>19</v>
      </c>
      <c r="F16" s="73" t="s">
        <v>1008</v>
      </c>
      <c r="G16" s="63" t="s">
        <v>961</v>
      </c>
      <c r="H16" s="61" t="s">
        <v>1003</v>
      </c>
      <c r="I16" s="61" t="s">
        <v>1014</v>
      </c>
      <c r="J16" s="60"/>
      <c r="K16" s="60"/>
      <c r="L16" s="60"/>
      <c r="M16" s="60"/>
      <c r="N16" s="60"/>
      <c r="O16" s="60"/>
      <c r="P16" s="60"/>
      <c r="Q16" s="60"/>
      <c r="R16" s="60">
        <v>0</v>
      </c>
      <c r="S16" s="60"/>
      <c r="T16" s="60"/>
      <c r="U16" s="60"/>
      <c r="V16" s="74">
        <f>SUM(Tabla14567[[#This Row],[ENE]:[DIC]])</f>
        <v>0</v>
      </c>
    </row>
    <row r="17" spans="1:22" ht="60" x14ac:dyDescent="0.2">
      <c r="A17" s="62" t="s">
        <v>1071</v>
      </c>
      <c r="B17" s="61" t="s">
        <v>1072</v>
      </c>
      <c r="C17" s="59">
        <v>100</v>
      </c>
      <c r="D17" s="63" t="s">
        <v>1250</v>
      </c>
      <c r="E17" s="59">
        <v>70</v>
      </c>
      <c r="F17" s="73" t="s">
        <v>1008</v>
      </c>
      <c r="G17" s="63" t="s">
        <v>961</v>
      </c>
      <c r="H17" s="61" t="s">
        <v>1003</v>
      </c>
      <c r="I17" s="61" t="s">
        <v>1014</v>
      </c>
      <c r="J17" s="60"/>
      <c r="K17" s="60"/>
      <c r="L17" s="60"/>
      <c r="M17" s="60"/>
      <c r="N17" s="60"/>
      <c r="O17" s="60"/>
      <c r="P17" s="60"/>
      <c r="Q17" s="60"/>
      <c r="R17" s="60">
        <v>25000</v>
      </c>
      <c r="S17" s="60"/>
      <c r="T17" s="60"/>
      <c r="U17" s="60"/>
      <c r="V17" s="74">
        <f>SUM(Tabla14567[[#This Row],[ENE]:[DIC]])</f>
        <v>25000</v>
      </c>
    </row>
    <row r="18" spans="1:22" ht="60" x14ac:dyDescent="0.2">
      <c r="A18" s="62" t="s">
        <v>1070</v>
      </c>
      <c r="B18" s="61" t="s">
        <v>1073</v>
      </c>
      <c r="C18" s="59">
        <v>100</v>
      </c>
      <c r="D18" s="63" t="s">
        <v>1250</v>
      </c>
      <c r="E18" s="59">
        <v>200</v>
      </c>
      <c r="F18" s="73" t="s">
        <v>1008</v>
      </c>
      <c r="G18" s="63" t="s">
        <v>961</v>
      </c>
      <c r="H18" s="61" t="s">
        <v>1003</v>
      </c>
      <c r="I18" s="61" t="s">
        <v>1014</v>
      </c>
      <c r="J18" s="60"/>
      <c r="K18" s="60"/>
      <c r="L18" s="60"/>
      <c r="M18" s="60"/>
      <c r="N18" s="60"/>
      <c r="O18" s="60"/>
      <c r="P18" s="60">
        <v>11000</v>
      </c>
      <c r="Q18" s="60">
        <v>11000</v>
      </c>
      <c r="R18" s="60"/>
      <c r="S18" s="60"/>
      <c r="T18" s="60"/>
      <c r="U18" s="60"/>
      <c r="V18" s="74">
        <f>SUM(Tabla14567[[#This Row],[ENE]:[DIC]])</f>
        <v>22000</v>
      </c>
    </row>
    <row r="19" spans="1:22" ht="60.75" thickBot="1" x14ac:dyDescent="0.25">
      <c r="A19" s="62" t="s">
        <v>1074</v>
      </c>
      <c r="B19" s="61" t="s">
        <v>1073</v>
      </c>
      <c r="C19" s="59">
        <v>100</v>
      </c>
      <c r="D19" s="63" t="s">
        <v>1241</v>
      </c>
      <c r="E19" s="59">
        <v>200</v>
      </c>
      <c r="F19" s="64" t="s">
        <v>1008</v>
      </c>
      <c r="G19" s="63" t="s">
        <v>961</v>
      </c>
      <c r="H19" s="61" t="s">
        <v>1003</v>
      </c>
      <c r="I19" s="61" t="s">
        <v>1014</v>
      </c>
      <c r="J19" s="60"/>
      <c r="K19" s="60"/>
      <c r="L19" s="60"/>
      <c r="M19" s="60"/>
      <c r="N19" s="60"/>
      <c r="O19" s="60"/>
      <c r="P19" s="60"/>
      <c r="Q19" s="60"/>
      <c r="R19" s="60">
        <v>12000</v>
      </c>
      <c r="S19" s="60"/>
      <c r="T19" s="60"/>
      <c r="U19" s="60"/>
      <c r="V19" s="74">
        <f>SUM(Tabla14567[[#This Row],[ENE]:[DIC]])</f>
        <v>12000</v>
      </c>
    </row>
    <row r="20" spans="1:22" ht="12.75" thickTop="1" x14ac:dyDescent="0.2">
      <c r="A20" s="87"/>
      <c r="B20" s="88"/>
      <c r="C20" s="88"/>
      <c r="D20" s="88"/>
      <c r="E20" s="88"/>
      <c r="F20" s="89"/>
      <c r="G20" s="89"/>
      <c r="H20" s="89"/>
      <c r="I20" s="89"/>
      <c r="J20" s="89"/>
      <c r="K20" s="89"/>
      <c r="L20" s="89"/>
      <c r="M20" s="89"/>
      <c r="N20" s="89"/>
      <c r="O20" s="89"/>
      <c r="P20" s="89"/>
      <c r="Q20" s="89"/>
      <c r="R20" s="89"/>
      <c r="S20" s="89"/>
      <c r="T20" s="89"/>
      <c r="U20" s="90" t="s">
        <v>9</v>
      </c>
      <c r="V20" s="91">
        <f>SUBTOTAL(109,Tabla14567[TOTAL])</f>
        <v>71000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0.19685039370078741" right="3.937007874015748E-2" top="0.35433070866141736" bottom="0.35433070866141736" header="0.31496062992125984" footer="0.31496062992125984"/>
  <pageSetup paperSize="190" scale="56" orientation="landscape" r:id="rId1"/>
  <legacyDrawing r:id="rId2"/>
  <tableParts count="1">
    <tablePart r:id="rId3"/>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theme="3" tint="0.39997558519241921"/>
    <pageSetUpPr fitToPage="1"/>
  </sheetPr>
  <dimension ref="A1:V17"/>
  <sheetViews>
    <sheetView showGridLines="0" workbookViewId="0">
      <pane xSplit="1" ySplit="14" topLeftCell="B15" activePane="bottomRight" state="frozen"/>
      <selection pane="topRight" activeCell="B1" sqref="B1"/>
      <selection pane="bottomLeft" activeCell="A15" sqref="A15"/>
      <selection pane="bottomRight" activeCell="J26" sqref="J26"/>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1093</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1094</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1095</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1096</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1008</v>
      </c>
      <c r="C11" s="169"/>
      <c r="D11" s="169"/>
      <c r="E11" s="169"/>
      <c r="F11" s="158"/>
      <c r="G11" s="8" t="s">
        <v>3</v>
      </c>
      <c r="H11" s="157" t="s">
        <v>961</v>
      </c>
      <c r="I11" s="158"/>
      <c r="K11" s="159">
        <f>+Tabla1456789101112[[#Totals],[TOTAL]]</f>
        <v>18000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1005</v>
      </c>
      <c r="B15" s="61" t="s">
        <v>1167</v>
      </c>
      <c r="C15" s="19">
        <v>100</v>
      </c>
      <c r="D15" s="19" t="s">
        <v>1251</v>
      </c>
      <c r="E15" s="66">
        <v>9</v>
      </c>
      <c r="F15" s="20" t="s">
        <v>1008</v>
      </c>
      <c r="G15" s="20" t="s">
        <v>961</v>
      </c>
      <c r="H15" s="61" t="s">
        <v>1003</v>
      </c>
      <c r="I15" s="61" t="s">
        <v>1014</v>
      </c>
      <c r="J15" s="37">
        <v>750</v>
      </c>
      <c r="K15" s="37">
        <v>750</v>
      </c>
      <c r="L15" s="37">
        <v>750</v>
      </c>
      <c r="M15" s="37">
        <v>750</v>
      </c>
      <c r="N15" s="37">
        <v>750</v>
      </c>
      <c r="O15" s="37">
        <v>750</v>
      </c>
      <c r="P15" s="37">
        <v>750</v>
      </c>
      <c r="Q15" s="37">
        <v>750</v>
      </c>
      <c r="R15" s="37">
        <v>750</v>
      </c>
      <c r="S15" s="37">
        <v>750</v>
      </c>
      <c r="T15" s="37">
        <v>750</v>
      </c>
      <c r="U15" s="37">
        <v>750</v>
      </c>
      <c r="V15" s="36">
        <f>SUM(Tabla1456789101112[[#This Row],[ENE]:[DIC]])</f>
        <v>9000</v>
      </c>
    </row>
    <row r="16" spans="1:22" ht="60.75" thickBot="1" x14ac:dyDescent="0.25">
      <c r="A16" s="72" t="s">
        <v>1006</v>
      </c>
      <c r="B16" s="61" t="s">
        <v>1168</v>
      </c>
      <c r="C16" s="59">
        <v>100</v>
      </c>
      <c r="D16" s="63" t="s">
        <v>1274</v>
      </c>
      <c r="E16" s="59">
        <v>9</v>
      </c>
      <c r="F16" s="73" t="s">
        <v>1008</v>
      </c>
      <c r="G16" s="59" t="s">
        <v>961</v>
      </c>
      <c r="H16" s="61" t="s">
        <v>1003</v>
      </c>
      <c r="I16" s="61" t="s">
        <v>1014</v>
      </c>
      <c r="J16" s="60">
        <v>750</v>
      </c>
      <c r="K16" s="60">
        <v>750</v>
      </c>
      <c r="L16" s="60">
        <v>750</v>
      </c>
      <c r="M16" s="60">
        <v>750</v>
      </c>
      <c r="N16" s="60">
        <v>750</v>
      </c>
      <c r="O16" s="60">
        <v>750</v>
      </c>
      <c r="P16" s="60">
        <v>750</v>
      </c>
      <c r="Q16" s="60">
        <v>750</v>
      </c>
      <c r="R16" s="60">
        <v>750</v>
      </c>
      <c r="S16" s="60">
        <v>750</v>
      </c>
      <c r="T16" s="60">
        <v>750</v>
      </c>
      <c r="U16" s="60">
        <v>750</v>
      </c>
      <c r="V16" s="74">
        <f>SUM(Tabla1456789101112[[#This Row],[ENE]:[DIC]])</f>
        <v>9000</v>
      </c>
    </row>
    <row r="17" spans="1:22" ht="12.75" thickTop="1" x14ac:dyDescent="0.2">
      <c r="A17" s="67"/>
      <c r="B17" s="68"/>
      <c r="C17" s="68"/>
      <c r="D17" s="68"/>
      <c r="E17" s="68"/>
      <c r="F17" s="69"/>
      <c r="G17" s="69"/>
      <c r="H17" s="69"/>
      <c r="I17" s="69"/>
      <c r="J17" s="69"/>
      <c r="K17" s="69"/>
      <c r="L17" s="69"/>
      <c r="M17" s="69"/>
      <c r="N17" s="69"/>
      <c r="O17" s="69"/>
      <c r="P17" s="69"/>
      <c r="Q17" s="69"/>
      <c r="R17" s="69"/>
      <c r="S17" s="69"/>
      <c r="T17" s="69"/>
      <c r="U17" s="70" t="s">
        <v>9</v>
      </c>
      <c r="V17" s="71">
        <f>SUBTOTAL(109,Tabla1456789101112[TOTAL])</f>
        <v>18000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FF00"/>
    <pageSetUpPr fitToPage="1"/>
  </sheetPr>
  <dimension ref="A1:D22"/>
  <sheetViews>
    <sheetView workbookViewId="0">
      <selection activeCell="D27" sqref="D27"/>
    </sheetView>
  </sheetViews>
  <sheetFormatPr baseColWidth="10" defaultRowHeight="15" x14ac:dyDescent="0.25"/>
  <cols>
    <col min="1" max="1" width="26.28515625" customWidth="1"/>
    <col min="2" max="2" width="13" customWidth="1"/>
    <col min="3" max="3" width="14.7109375" customWidth="1"/>
  </cols>
  <sheetData>
    <row r="1" spans="1:4" ht="15.75" thickBot="1" x14ac:dyDescent="0.3">
      <c r="B1" s="104">
        <v>2011</v>
      </c>
      <c r="C1" s="105">
        <v>2012</v>
      </c>
      <c r="D1" s="106" t="s">
        <v>1178</v>
      </c>
    </row>
    <row r="2" spans="1:4" x14ac:dyDescent="0.25">
      <c r="A2" s="98" t="s">
        <v>1147</v>
      </c>
      <c r="B2" s="102">
        <f>'[1]RESUMEN PROGRAMAS'!W15</f>
        <v>942245.03</v>
      </c>
      <c r="C2" s="102">
        <f>'RESUMEN PROGRAMAS'!V15</f>
        <v>1186631.17</v>
      </c>
      <c r="D2" s="103">
        <f>1-(B2/C2)</f>
        <v>0.20594953695679497</v>
      </c>
    </row>
    <row r="3" spans="1:4" x14ac:dyDescent="0.25">
      <c r="A3" s="48" t="s">
        <v>1276</v>
      </c>
      <c r="B3" s="102">
        <v>0</v>
      </c>
      <c r="C3" s="102">
        <f>'RESUMEN PROGRAMAS'!V16</f>
        <v>24000</v>
      </c>
      <c r="D3" s="103">
        <f t="shared" ref="D3:D22" si="0">1-(B3/C3)</f>
        <v>1</v>
      </c>
    </row>
    <row r="4" spans="1:4" x14ac:dyDescent="0.25">
      <c r="A4" s="99" t="s">
        <v>1045</v>
      </c>
      <c r="B4" s="102">
        <f>'[1]RESUMEN PROGRAMAS'!W17</f>
        <v>458640.84</v>
      </c>
      <c r="C4" s="102">
        <f>'RESUMEN PROGRAMAS'!V17</f>
        <v>169800</v>
      </c>
      <c r="D4" s="103">
        <f t="shared" si="0"/>
        <v>-1.7010650176678448</v>
      </c>
    </row>
    <row r="5" spans="1:4" x14ac:dyDescent="0.25">
      <c r="A5" s="49" t="s">
        <v>1148</v>
      </c>
      <c r="B5" s="102">
        <f>'[1]RESUMEN PROGRAMAS'!W18</f>
        <v>15000</v>
      </c>
      <c r="C5" s="102">
        <f>'RESUMEN PROGRAMAS'!V18</f>
        <v>127500</v>
      </c>
      <c r="D5" s="103">
        <f t="shared" si="0"/>
        <v>0.88235294117647056</v>
      </c>
    </row>
    <row r="6" spans="1:4" x14ac:dyDescent="0.25">
      <c r="A6" s="100" t="s">
        <v>1132</v>
      </c>
      <c r="B6" s="102">
        <f>'[1]RESUMEN PROGRAMAS'!$W$31</f>
        <v>3290898.51</v>
      </c>
      <c r="C6" s="102">
        <f>'RESUMEN PROGRAMAS'!V19</f>
        <v>5233400</v>
      </c>
      <c r="D6" s="103">
        <f t="shared" si="0"/>
        <v>0.37117390033247988</v>
      </c>
    </row>
    <row r="7" spans="1:4" x14ac:dyDescent="0.25">
      <c r="A7" s="75" t="s">
        <v>1173</v>
      </c>
      <c r="B7" s="102">
        <f>'[1]RESUMEN PROGRAMAS'!$W$19</f>
        <v>285732</v>
      </c>
      <c r="C7" s="102">
        <f>'RESUMEN PROGRAMAS'!V20</f>
        <v>120000</v>
      </c>
      <c r="D7" s="103">
        <f t="shared" si="0"/>
        <v>-1.3811</v>
      </c>
    </row>
    <row r="8" spans="1:4" x14ac:dyDescent="0.25">
      <c r="A8" s="100" t="s">
        <v>1114</v>
      </c>
      <c r="B8" s="102">
        <f>'[1]RESUMEN PROGRAMAS'!W21</f>
        <v>101815.67999999999</v>
      </c>
      <c r="C8" s="102">
        <f>'RESUMEN PROGRAMAS'!V21</f>
        <v>18000</v>
      </c>
      <c r="D8" s="103">
        <f t="shared" si="0"/>
        <v>-4.6564266666666665</v>
      </c>
    </row>
    <row r="9" spans="1:4" x14ac:dyDescent="0.25">
      <c r="A9" s="75" t="s">
        <v>1149</v>
      </c>
      <c r="B9" s="102">
        <f>'[1]RESUMEN PROGRAMAS'!$W$21</f>
        <v>101815.67999999999</v>
      </c>
      <c r="C9" s="102">
        <f>'RESUMEN PROGRAMAS'!V22</f>
        <v>48000</v>
      </c>
      <c r="D9" s="103">
        <f t="shared" si="0"/>
        <v>-1.1211599999999997</v>
      </c>
    </row>
    <row r="10" spans="1:4" x14ac:dyDescent="0.25">
      <c r="A10" s="100" t="s">
        <v>1174</v>
      </c>
      <c r="B10" s="102">
        <v>18000</v>
      </c>
      <c r="C10" s="102">
        <f>'RESUMEN PROGRAMAS'!V23</f>
        <v>18000</v>
      </c>
      <c r="D10" s="103">
        <f t="shared" si="0"/>
        <v>0</v>
      </c>
    </row>
    <row r="11" spans="1:4" x14ac:dyDescent="0.25">
      <c r="A11" s="75" t="s">
        <v>1150</v>
      </c>
      <c r="B11" s="102">
        <f>'[1]RESUMEN PROGRAMAS'!$W$23</f>
        <v>113544</v>
      </c>
      <c r="C11" s="102">
        <f>'RESUMEN PROGRAMAS'!V24</f>
        <v>24000</v>
      </c>
      <c r="D11" s="103">
        <f t="shared" si="0"/>
        <v>-3.7309999999999999</v>
      </c>
    </row>
    <row r="12" spans="1:4" x14ac:dyDescent="0.25">
      <c r="A12" s="100" t="s">
        <v>1103</v>
      </c>
      <c r="B12" s="102">
        <f>'[1]RESUMEN PROGRAMAS'!$W$32</f>
        <v>365280</v>
      </c>
      <c r="C12" s="102">
        <f>'RESUMEN PROGRAMAS'!V25</f>
        <v>380140.45</v>
      </c>
      <c r="D12" s="103">
        <f t="shared" si="0"/>
        <v>3.9091998759932078E-2</v>
      </c>
    </row>
    <row r="13" spans="1:4" x14ac:dyDescent="0.25">
      <c r="A13" s="75" t="s">
        <v>1084</v>
      </c>
      <c r="B13" s="102">
        <f>'[1]RESUMEN PROGRAMAS'!$W$24</f>
        <v>1450680</v>
      </c>
      <c r="C13" s="102">
        <f>'RESUMEN PROGRAMAS'!V26</f>
        <v>534330.82000000007</v>
      </c>
      <c r="D13" s="103">
        <f t="shared" si="0"/>
        <v>-1.7149472680613851</v>
      </c>
    </row>
    <row r="14" spans="1:4" x14ac:dyDescent="0.25">
      <c r="A14" s="100" t="s">
        <v>1075</v>
      </c>
      <c r="B14" s="102">
        <f>'[1]RESUMEN PROGRAMAS'!$W$25</f>
        <v>187644</v>
      </c>
      <c r="C14" s="102">
        <f>'RESUMEN PROGRAMAS'!V27</f>
        <v>32400</v>
      </c>
      <c r="D14" s="103">
        <f t="shared" si="0"/>
        <v>-4.7914814814814815</v>
      </c>
    </row>
    <row r="15" spans="1:4" x14ac:dyDescent="0.25">
      <c r="A15" s="75" t="s">
        <v>1063</v>
      </c>
      <c r="B15" s="102">
        <f>'[1]RESUMEN PROGRAMAS'!$W$26</f>
        <v>244724</v>
      </c>
      <c r="C15" s="102">
        <f>'RESUMEN PROGRAMAS'!V28</f>
        <v>71000</v>
      </c>
      <c r="D15" s="103">
        <f t="shared" si="0"/>
        <v>-2.4468169014084507</v>
      </c>
    </row>
    <row r="16" spans="1:4" x14ac:dyDescent="0.25">
      <c r="A16" s="100" t="s">
        <v>1151</v>
      </c>
      <c r="B16" s="102">
        <f>'[1]RESUMEN PROGRAMAS'!$W$27</f>
        <v>794212.8</v>
      </c>
      <c r="C16" s="102">
        <f>'RESUMEN PROGRAMAS'!V29</f>
        <v>960997.56</v>
      </c>
      <c r="D16" s="103">
        <f t="shared" si="0"/>
        <v>0.17355378092739382</v>
      </c>
    </row>
    <row r="17" spans="1:4" x14ac:dyDescent="0.25">
      <c r="A17" s="75" t="s">
        <v>1152</v>
      </c>
      <c r="B17" s="102">
        <f>'[1]RESUMEN PROGRAMAS'!$W$28</f>
        <v>644522.64</v>
      </c>
      <c r="C17" s="102">
        <f>'RESUMEN PROGRAMAS'!V30</f>
        <v>607500</v>
      </c>
      <c r="D17" s="103">
        <f t="shared" si="0"/>
        <v>-6.0942617283950673E-2</v>
      </c>
    </row>
    <row r="18" spans="1:4" x14ac:dyDescent="0.25">
      <c r="A18" s="99" t="s">
        <v>1221</v>
      </c>
      <c r="B18" s="102">
        <v>0</v>
      </c>
      <c r="C18" s="102">
        <f>'RESUMEN PROGRAMAS'!V31</f>
        <v>68100</v>
      </c>
      <c r="D18" s="103">
        <f t="shared" si="0"/>
        <v>1</v>
      </c>
    </row>
    <row r="19" spans="1:4" x14ac:dyDescent="0.25">
      <c r="A19" s="101" t="s">
        <v>1053</v>
      </c>
      <c r="B19" s="102">
        <f>'[1]RESUMEN PROGRAMAS'!$W$30</f>
        <v>202000</v>
      </c>
      <c r="C19" s="102">
        <f>'RESUMEN PROGRAMAS'!V32</f>
        <v>101000</v>
      </c>
      <c r="D19" s="103">
        <f t="shared" si="0"/>
        <v>-1</v>
      </c>
    </row>
    <row r="20" spans="1:4" x14ac:dyDescent="0.25">
      <c r="D20" s="103"/>
    </row>
    <row r="21" spans="1:4" x14ac:dyDescent="0.25">
      <c r="D21" s="103"/>
    </row>
    <row r="22" spans="1:4" x14ac:dyDescent="0.25">
      <c r="B22" s="102">
        <f>SUM(B2:B19)</f>
        <v>9216755.1799999997</v>
      </c>
      <c r="C22" s="102">
        <f>SUM(C2:C19)</f>
        <v>9724800</v>
      </c>
      <c r="D22" s="103">
        <f t="shared" si="0"/>
        <v>5.2242186985850592E-2</v>
      </c>
    </row>
  </sheetData>
  <pageMargins left="0.7" right="0.7" top="0.75" bottom="0.75" header="0.3" footer="0.3"/>
  <pageSetup paperSize="190" scale="98" orientation="landscape"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V20"/>
  <sheetViews>
    <sheetView showGridLines="0" workbookViewId="0">
      <pane xSplit="1" ySplit="14" topLeftCell="H15" activePane="bottomRight" state="frozen"/>
      <selection pane="topRight" activeCell="B1" sqref="B1"/>
      <selection pane="bottomLeft" activeCell="A15" sqref="A15"/>
      <selection pane="bottomRight" activeCell="K31" sqref="K31"/>
    </sheetView>
  </sheetViews>
  <sheetFormatPr baseColWidth="10" defaultRowHeight="12" x14ac:dyDescent="0.2"/>
  <cols>
    <col min="1" max="1" width="26.5703125" style="22" bestFit="1" customWidth="1"/>
    <col min="2" max="2" width="9.7109375" style="22" bestFit="1" customWidth="1"/>
    <col min="3" max="3" width="11.85546875" style="22" bestFit="1" customWidth="1"/>
    <col min="4" max="4" width="11.85546875" style="22" customWidth="1"/>
    <col min="5" max="5" width="9.42578125" style="22" bestFit="1" customWidth="1"/>
    <col min="6" max="6" width="15.85546875" style="22" bestFit="1" customWidth="1"/>
    <col min="7" max="7" width="10.85546875" style="22" customWidth="1"/>
    <col min="8" max="8" width="14.28515625" style="22" bestFit="1" customWidth="1"/>
    <col min="9" max="9" width="42.7109375" style="22" bestFit="1" customWidth="1"/>
    <col min="10" max="21" width="10.85546875" style="22" bestFit="1" customWidth="1"/>
    <col min="22" max="22" width="12.85546875" style="22" bestFit="1" customWidth="1"/>
    <col min="23" max="16384" width="11.42578125" style="22"/>
  </cols>
  <sheetData>
    <row r="1" spans="1:22" ht="23.25" customHeight="1" x14ac:dyDescent="0.2">
      <c r="A1" s="179" t="s">
        <v>956</v>
      </c>
      <c r="B1" s="180"/>
      <c r="C1" s="180"/>
      <c r="D1" s="180"/>
      <c r="E1" s="180"/>
      <c r="F1" s="181"/>
      <c r="G1" s="21"/>
      <c r="H1" s="21"/>
      <c r="I1" s="21"/>
      <c r="J1" s="31" t="s">
        <v>957</v>
      </c>
      <c r="K1" s="39">
        <v>1</v>
      </c>
      <c r="L1" s="21"/>
      <c r="M1" s="21"/>
      <c r="N1" s="21"/>
      <c r="O1" s="21"/>
      <c r="P1" s="21"/>
      <c r="Q1" s="21"/>
      <c r="R1" s="21"/>
      <c r="S1" s="21"/>
      <c r="T1" s="21"/>
      <c r="U1" s="21"/>
      <c r="V1" s="21"/>
    </row>
    <row r="2" spans="1:22" ht="3.75" customHeight="1" x14ac:dyDescent="0.2">
      <c r="A2" s="23"/>
      <c r="B2" s="23"/>
      <c r="C2" s="23"/>
      <c r="D2" s="23"/>
      <c r="E2" s="23"/>
      <c r="F2" s="23"/>
      <c r="G2" s="21"/>
      <c r="H2" s="21"/>
      <c r="I2" s="21"/>
      <c r="J2" s="21"/>
      <c r="K2" s="21"/>
      <c r="L2" s="21"/>
      <c r="M2" s="21"/>
      <c r="N2" s="21"/>
      <c r="O2" s="21"/>
      <c r="P2" s="21"/>
      <c r="Q2" s="21"/>
      <c r="R2" s="21"/>
      <c r="S2" s="21"/>
      <c r="T2" s="21"/>
      <c r="U2" s="21"/>
      <c r="V2" s="21"/>
    </row>
    <row r="3" spans="1:22" ht="18.75" customHeight="1" x14ac:dyDescent="0.2">
      <c r="A3" s="24" t="s">
        <v>4</v>
      </c>
      <c r="B3" s="182" t="s">
        <v>802</v>
      </c>
      <c r="C3" s="183"/>
      <c r="D3" s="183"/>
      <c r="E3" s="183"/>
      <c r="F3" s="183"/>
      <c r="G3" s="183"/>
      <c r="H3" s="183"/>
      <c r="I3" s="183"/>
      <c r="J3" s="183"/>
      <c r="K3" s="183"/>
      <c r="L3" s="184"/>
      <c r="M3" s="25"/>
      <c r="N3" s="25"/>
      <c r="O3" s="25"/>
      <c r="P3" s="25"/>
      <c r="Q3" s="25"/>
      <c r="R3" s="25"/>
      <c r="S3" s="25"/>
      <c r="T3" s="25"/>
      <c r="U3" s="25"/>
      <c r="V3" s="25"/>
    </row>
    <row r="4" spans="1:22" ht="3.75" customHeight="1" x14ac:dyDescent="0.2">
      <c r="B4" s="26"/>
      <c r="C4" s="26"/>
      <c r="D4" s="26"/>
      <c r="E4" s="26"/>
      <c r="F4" s="26"/>
      <c r="G4" s="26"/>
      <c r="H4" s="26"/>
      <c r="I4" s="26"/>
      <c r="J4" s="25"/>
      <c r="K4" s="25"/>
      <c r="L4" s="25"/>
      <c r="M4" s="25"/>
      <c r="N4" s="25"/>
      <c r="O4" s="25"/>
      <c r="P4" s="25"/>
      <c r="Q4" s="25"/>
      <c r="R4" s="25"/>
      <c r="S4" s="25"/>
      <c r="T4" s="25"/>
      <c r="U4" s="25"/>
      <c r="V4" s="25"/>
    </row>
    <row r="5" spans="1:22" x14ac:dyDescent="0.2">
      <c r="A5" s="22" t="s">
        <v>5</v>
      </c>
      <c r="B5" s="182" t="s">
        <v>958</v>
      </c>
      <c r="C5" s="183"/>
      <c r="D5" s="183"/>
      <c r="E5" s="183"/>
      <c r="F5" s="183"/>
      <c r="G5" s="183"/>
      <c r="H5" s="183"/>
      <c r="I5" s="183"/>
      <c r="J5" s="183"/>
      <c r="K5" s="183"/>
      <c r="L5" s="184"/>
      <c r="M5" s="25"/>
      <c r="N5" s="25"/>
      <c r="O5" s="25"/>
      <c r="P5" s="25"/>
      <c r="Q5" s="25"/>
      <c r="R5" s="25"/>
      <c r="S5" s="25"/>
      <c r="T5" s="25"/>
      <c r="U5" s="25"/>
      <c r="V5" s="25"/>
    </row>
    <row r="6" spans="1:22" ht="3.75" customHeight="1" x14ac:dyDescent="0.2">
      <c r="B6" s="27"/>
      <c r="C6" s="27"/>
      <c r="D6" s="27"/>
      <c r="E6" s="27"/>
      <c r="F6" s="27"/>
      <c r="G6" s="27"/>
      <c r="H6" s="27"/>
      <c r="I6" s="27"/>
      <c r="J6" s="25"/>
      <c r="K6" s="25"/>
      <c r="L6" s="25"/>
      <c r="M6" s="25"/>
      <c r="N6" s="25"/>
      <c r="O6" s="25"/>
      <c r="P6" s="25"/>
      <c r="Q6" s="25"/>
      <c r="R6" s="25"/>
      <c r="S6" s="25"/>
      <c r="T6" s="25"/>
      <c r="U6" s="25"/>
      <c r="V6" s="25"/>
    </row>
    <row r="7" spans="1:22" ht="48" customHeight="1" x14ac:dyDescent="0.2">
      <c r="A7" s="28" t="s">
        <v>6</v>
      </c>
      <c r="B7" s="148" t="s">
        <v>959</v>
      </c>
      <c r="C7" s="149"/>
      <c r="D7" s="149"/>
      <c r="E7" s="149"/>
      <c r="F7" s="149"/>
      <c r="G7" s="149"/>
      <c r="H7" s="149"/>
      <c r="I7" s="149"/>
      <c r="J7" s="149"/>
      <c r="K7" s="149"/>
      <c r="L7" s="150"/>
      <c r="M7" s="25"/>
      <c r="N7" s="25"/>
      <c r="O7" s="25"/>
      <c r="P7" s="25"/>
      <c r="Q7" s="25"/>
      <c r="R7" s="25"/>
      <c r="S7" s="25"/>
      <c r="T7" s="25"/>
      <c r="U7" s="25"/>
      <c r="V7" s="25"/>
    </row>
    <row r="8" spans="1:22" ht="3.75" customHeight="1" x14ac:dyDescent="0.2">
      <c r="B8" s="27"/>
      <c r="C8" s="27"/>
      <c r="D8" s="27"/>
      <c r="E8" s="27"/>
      <c r="F8" s="27"/>
      <c r="G8" s="27"/>
      <c r="H8" s="27"/>
      <c r="I8" s="27"/>
      <c r="J8" s="25"/>
      <c r="K8" s="25"/>
      <c r="L8" s="25"/>
      <c r="M8" s="25"/>
      <c r="N8" s="25"/>
      <c r="O8" s="25"/>
      <c r="P8" s="25"/>
      <c r="Q8" s="25"/>
      <c r="R8" s="25"/>
      <c r="S8" s="25"/>
      <c r="T8" s="25"/>
      <c r="U8" s="25"/>
      <c r="V8" s="25"/>
    </row>
    <row r="9" spans="1:22" ht="45.75" customHeight="1" x14ac:dyDescent="0.2">
      <c r="A9" s="28" t="s">
        <v>7</v>
      </c>
      <c r="B9" s="148" t="s">
        <v>971</v>
      </c>
      <c r="C9" s="149"/>
      <c r="D9" s="149"/>
      <c r="E9" s="149"/>
      <c r="F9" s="149"/>
      <c r="G9" s="149"/>
      <c r="H9" s="149"/>
      <c r="I9" s="149"/>
      <c r="J9" s="149"/>
      <c r="K9" s="149"/>
      <c r="L9" s="150"/>
      <c r="M9" s="25"/>
      <c r="N9" s="25"/>
      <c r="O9" s="25"/>
      <c r="P9" s="25"/>
      <c r="Q9" s="25"/>
      <c r="R9" s="25"/>
      <c r="S9" s="25"/>
      <c r="T9" s="25"/>
      <c r="U9" s="25"/>
      <c r="V9" s="25"/>
    </row>
    <row r="10" spans="1:22" ht="3.75" customHeight="1" x14ac:dyDescent="0.2">
      <c r="B10" s="29"/>
      <c r="C10" s="29"/>
      <c r="D10" s="29"/>
      <c r="E10" s="29"/>
      <c r="F10" s="29"/>
      <c r="G10" s="29"/>
      <c r="H10" s="29"/>
      <c r="I10" s="29"/>
      <c r="J10" s="25"/>
      <c r="K10" s="25"/>
      <c r="L10" s="25"/>
      <c r="M10" s="25"/>
      <c r="N10" s="25"/>
      <c r="O10" s="25"/>
      <c r="P10" s="25"/>
      <c r="Q10" s="25"/>
      <c r="R10" s="25"/>
      <c r="S10" s="25"/>
      <c r="T10" s="25"/>
      <c r="U10" s="25"/>
      <c r="V10" s="25"/>
    </row>
    <row r="11" spans="1:22" x14ac:dyDescent="0.2">
      <c r="A11" s="22" t="s">
        <v>8</v>
      </c>
      <c r="B11" s="154" t="s">
        <v>960</v>
      </c>
      <c r="C11" s="155"/>
      <c r="D11" s="155"/>
      <c r="E11" s="155"/>
      <c r="F11" s="156"/>
      <c r="G11" s="22" t="s">
        <v>3</v>
      </c>
      <c r="H11" s="154" t="s">
        <v>961</v>
      </c>
      <c r="I11" s="156"/>
      <c r="K11" s="177">
        <f>+Tabla13[[#Totals],[TOTAL]]</f>
        <v>21210736.999999922</v>
      </c>
      <c r="L11" s="178"/>
    </row>
    <row r="12" spans="1:22" ht="3.75" customHeight="1" x14ac:dyDescent="0.2">
      <c r="B12" s="176"/>
      <c r="C12" s="176"/>
      <c r="D12" s="176"/>
      <c r="E12" s="176"/>
      <c r="F12" s="176"/>
      <c r="G12" s="176"/>
      <c r="H12" s="176"/>
      <c r="I12" s="176"/>
      <c r="J12" s="176"/>
      <c r="K12" s="176"/>
      <c r="L12" s="176"/>
      <c r="M12" s="176"/>
      <c r="N12" s="176"/>
      <c r="O12" s="176"/>
      <c r="P12" s="176"/>
      <c r="Q12" s="176"/>
      <c r="R12" s="176"/>
      <c r="S12" s="176"/>
      <c r="T12" s="176"/>
      <c r="U12" s="176"/>
      <c r="V12" s="176"/>
    </row>
    <row r="14" spans="1:22" s="31" customFormat="1" x14ac:dyDescent="0.25">
      <c r="A14" s="30" t="s">
        <v>948</v>
      </c>
      <c r="B14" s="30" t="s">
        <v>949</v>
      </c>
      <c r="C14" s="30" t="s">
        <v>950</v>
      </c>
      <c r="D14" s="30" t="s">
        <v>970</v>
      </c>
      <c r="E14" s="30" t="s">
        <v>951</v>
      </c>
      <c r="F14" s="30" t="s">
        <v>952</v>
      </c>
      <c r="G14" s="30" t="s">
        <v>953</v>
      </c>
      <c r="H14" s="30" t="s">
        <v>10</v>
      </c>
      <c r="I14" s="30" t="s">
        <v>954</v>
      </c>
      <c r="J14" s="30" t="s">
        <v>936</v>
      </c>
      <c r="K14" s="30" t="s">
        <v>937</v>
      </c>
      <c r="L14" s="30" t="s">
        <v>938</v>
      </c>
      <c r="M14" s="30" t="s">
        <v>939</v>
      </c>
      <c r="N14" s="30" t="s">
        <v>940</v>
      </c>
      <c r="O14" s="30" t="s">
        <v>941</v>
      </c>
      <c r="P14" s="30" t="s">
        <v>942</v>
      </c>
      <c r="Q14" s="30" t="s">
        <v>943</v>
      </c>
      <c r="R14" s="30" t="s">
        <v>944</v>
      </c>
      <c r="S14" s="30" t="s">
        <v>945</v>
      </c>
      <c r="T14" s="30" t="s">
        <v>946</v>
      </c>
      <c r="U14" s="30" t="s">
        <v>947</v>
      </c>
      <c r="V14" s="30" t="s">
        <v>955</v>
      </c>
    </row>
    <row r="15" spans="1:22" x14ac:dyDescent="0.2">
      <c r="A15" s="47" t="s">
        <v>962</v>
      </c>
      <c r="B15" s="41" t="s">
        <v>965</v>
      </c>
      <c r="C15" s="50">
        <v>100</v>
      </c>
      <c r="D15" s="50">
        <v>311</v>
      </c>
      <c r="E15" s="50">
        <v>10</v>
      </c>
      <c r="F15" s="51" t="s">
        <v>964</v>
      </c>
      <c r="G15" s="51" t="s">
        <v>961</v>
      </c>
      <c r="H15" s="51" t="s">
        <v>865</v>
      </c>
      <c r="I15" s="51" t="s">
        <v>867</v>
      </c>
      <c r="J15" s="42">
        <v>1705361.41666666</v>
      </c>
      <c r="K15" s="42">
        <v>1705361.41666666</v>
      </c>
      <c r="L15" s="42">
        <v>1705361.41666666</v>
      </c>
      <c r="M15" s="42">
        <v>1705361.41666666</v>
      </c>
      <c r="N15" s="42">
        <v>1705361.41666666</v>
      </c>
      <c r="O15" s="42">
        <v>1705361.41666666</v>
      </c>
      <c r="P15" s="42">
        <v>1705361.41666666</v>
      </c>
      <c r="Q15" s="42">
        <v>1705361.41666666</v>
      </c>
      <c r="R15" s="42">
        <v>1705361.41666666</v>
      </c>
      <c r="S15" s="42">
        <v>1705361.41666666</v>
      </c>
      <c r="T15" s="42"/>
      <c r="U15" s="42"/>
      <c r="V15" s="43">
        <f>SUM(Tabla13[[#This Row],[ENE]:[DIC]])</f>
        <v>17053614.166666601</v>
      </c>
    </row>
    <row r="16" spans="1:22" x14ac:dyDescent="0.2">
      <c r="A16" s="48" t="s">
        <v>962</v>
      </c>
      <c r="B16" s="41" t="s">
        <v>966</v>
      </c>
      <c r="C16" s="50">
        <v>100</v>
      </c>
      <c r="D16" s="50">
        <v>311</v>
      </c>
      <c r="E16" s="50">
        <v>2</v>
      </c>
      <c r="F16" s="51" t="s">
        <v>964</v>
      </c>
      <c r="G16" s="51" t="s">
        <v>961</v>
      </c>
      <c r="H16" s="51" t="s">
        <v>865</v>
      </c>
      <c r="I16" s="51" t="s">
        <v>901</v>
      </c>
      <c r="J16" s="42">
        <v>0</v>
      </c>
      <c r="K16" s="42">
        <v>0</v>
      </c>
      <c r="L16" s="42">
        <v>0</v>
      </c>
      <c r="M16" s="42">
        <v>0</v>
      </c>
      <c r="N16" s="42">
        <v>0</v>
      </c>
      <c r="O16" s="42">
        <v>0</v>
      </c>
      <c r="P16" s="42">
        <v>0</v>
      </c>
      <c r="Q16" s="42">
        <v>0</v>
      </c>
      <c r="R16" s="42">
        <v>0</v>
      </c>
      <c r="S16" s="42">
        <v>0</v>
      </c>
      <c r="T16" s="42">
        <v>1705361.41666666</v>
      </c>
      <c r="U16" s="42">
        <v>1705361.41666666</v>
      </c>
      <c r="V16" s="43">
        <f>SUM(Tabla13[[#This Row],[ENE]:[DIC]])</f>
        <v>3410722.83333332</v>
      </c>
    </row>
    <row r="17" spans="1:22" x14ac:dyDescent="0.2">
      <c r="A17" s="49" t="s">
        <v>967</v>
      </c>
      <c r="B17" s="44" t="s">
        <v>963</v>
      </c>
      <c r="C17" s="52">
        <v>100</v>
      </c>
      <c r="D17" s="52">
        <v>314</v>
      </c>
      <c r="E17" s="52">
        <v>12</v>
      </c>
      <c r="F17" s="53" t="s">
        <v>968</v>
      </c>
      <c r="G17" s="52" t="s">
        <v>961</v>
      </c>
      <c r="H17" s="54" t="s">
        <v>865</v>
      </c>
      <c r="I17" s="54" t="s">
        <v>867</v>
      </c>
      <c r="J17" s="45">
        <v>50000</v>
      </c>
      <c r="K17" s="45">
        <v>50000</v>
      </c>
      <c r="L17" s="45">
        <v>50000</v>
      </c>
      <c r="M17" s="45">
        <v>50000</v>
      </c>
      <c r="N17" s="45">
        <v>50000</v>
      </c>
      <c r="O17" s="45">
        <v>50000</v>
      </c>
      <c r="P17" s="45">
        <v>50000</v>
      </c>
      <c r="Q17" s="45">
        <v>50000</v>
      </c>
      <c r="R17" s="45">
        <v>50000</v>
      </c>
      <c r="S17" s="45">
        <v>50000</v>
      </c>
      <c r="T17" s="45">
        <v>50000</v>
      </c>
      <c r="U17" s="45">
        <v>50000</v>
      </c>
      <c r="V17" s="46">
        <f>SUM(Tabla13[[#This Row],[ENE]:[DIC]])</f>
        <v>600000</v>
      </c>
    </row>
    <row r="18" spans="1:22" x14ac:dyDescent="0.2">
      <c r="A18" s="49" t="s">
        <v>969</v>
      </c>
      <c r="B18" s="44" t="s">
        <v>963</v>
      </c>
      <c r="C18" s="52">
        <v>100</v>
      </c>
      <c r="D18" s="52">
        <v>316</v>
      </c>
      <c r="E18" s="52">
        <v>12</v>
      </c>
      <c r="F18" s="53" t="s">
        <v>968</v>
      </c>
      <c r="G18" s="52" t="s">
        <v>961</v>
      </c>
      <c r="H18" s="54" t="s">
        <v>865</v>
      </c>
      <c r="I18" s="54" t="s">
        <v>867</v>
      </c>
      <c r="J18" s="45">
        <v>3700</v>
      </c>
      <c r="K18" s="45">
        <v>3700</v>
      </c>
      <c r="L18" s="45">
        <v>3700</v>
      </c>
      <c r="M18" s="45">
        <v>3700</v>
      </c>
      <c r="N18" s="45">
        <v>3700</v>
      </c>
      <c r="O18" s="45">
        <v>3700</v>
      </c>
      <c r="P18" s="45">
        <v>3700</v>
      </c>
      <c r="Q18" s="45">
        <v>3700</v>
      </c>
      <c r="R18" s="45">
        <v>3700</v>
      </c>
      <c r="S18" s="45">
        <v>3700</v>
      </c>
      <c r="T18" s="45">
        <v>3700</v>
      </c>
      <c r="U18" s="45">
        <v>3700</v>
      </c>
      <c r="V18" s="46">
        <f>SUM(Tabla13[[#This Row],[ENE]:[DIC]])</f>
        <v>44400</v>
      </c>
    </row>
    <row r="19" spans="1:22" ht="12.75" thickBot="1" x14ac:dyDescent="0.25">
      <c r="A19" s="49" t="s">
        <v>969</v>
      </c>
      <c r="B19" s="44" t="s">
        <v>963</v>
      </c>
      <c r="C19" s="52">
        <v>100</v>
      </c>
      <c r="D19" s="52">
        <v>316</v>
      </c>
      <c r="E19" s="52">
        <v>12</v>
      </c>
      <c r="F19" s="53" t="s">
        <v>968</v>
      </c>
      <c r="G19" s="52" t="s">
        <v>961</v>
      </c>
      <c r="H19" s="54" t="s">
        <v>865</v>
      </c>
      <c r="I19" s="54" t="s">
        <v>901</v>
      </c>
      <c r="J19" s="45">
        <v>8500</v>
      </c>
      <c r="K19" s="45">
        <v>8500</v>
      </c>
      <c r="L19" s="45">
        <v>8500</v>
      </c>
      <c r="M19" s="45">
        <v>8500</v>
      </c>
      <c r="N19" s="45">
        <v>8500</v>
      </c>
      <c r="O19" s="45">
        <v>8500</v>
      </c>
      <c r="P19" s="45">
        <v>8500</v>
      </c>
      <c r="Q19" s="45">
        <v>8500</v>
      </c>
      <c r="R19" s="45">
        <v>8500</v>
      </c>
      <c r="S19" s="45">
        <v>8500</v>
      </c>
      <c r="T19" s="45">
        <v>8500</v>
      </c>
      <c r="U19" s="45">
        <v>8500</v>
      </c>
      <c r="V19" s="46">
        <f>SUM(Tabla13[[#This Row],[ENE]:[DIC]])</f>
        <v>102000</v>
      </c>
    </row>
    <row r="20" spans="1:22" ht="12.75" thickTop="1" x14ac:dyDescent="0.2">
      <c r="A20" s="32"/>
      <c r="B20" s="33"/>
      <c r="C20" s="33"/>
      <c r="D20" s="33"/>
      <c r="E20" s="33"/>
      <c r="F20" s="34"/>
      <c r="G20" s="34"/>
      <c r="H20" s="34"/>
      <c r="I20" s="34"/>
      <c r="J20" s="34"/>
      <c r="K20" s="34"/>
      <c r="L20" s="34"/>
      <c r="M20" s="34"/>
      <c r="N20" s="34"/>
      <c r="O20" s="34"/>
      <c r="P20" s="34"/>
      <c r="Q20" s="34"/>
      <c r="R20" s="34"/>
      <c r="S20" s="34"/>
      <c r="T20" s="34"/>
      <c r="U20" s="35" t="s">
        <v>9</v>
      </c>
      <c r="V20" s="55">
        <f>SUBTOTAL(109,Tabla13[TOTAL])</f>
        <v>21210736.999999922</v>
      </c>
    </row>
  </sheetData>
  <sheetProtection password="CEBA" sheet="1" objects="1" scenarios="1" formatColumns="0" formatRows="0"/>
  <mergeCells count="9">
    <mergeCell ref="B12:V12"/>
    <mergeCell ref="K11:L11"/>
    <mergeCell ref="A1:F1"/>
    <mergeCell ref="B3:L3"/>
    <mergeCell ref="B5:L5"/>
    <mergeCell ref="B7:L7"/>
    <mergeCell ref="B9:L9"/>
    <mergeCell ref="B11:F11"/>
    <mergeCell ref="H11:I11"/>
  </mergeCells>
  <pageMargins left="0.69" right="0.26" top="0.74803149606299213" bottom="0.74803149606299213" header="0.31496062992125984" footer="0.31496062992125984"/>
  <pageSetup paperSize="5" scale="56"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errorStyle="warning" allowBlank="1" showInputMessage="1" showErrorMessage="1">
          <x14:formula1>
            <xm:f>Metas!$J$2:$J$71</xm:f>
          </x14:formula1>
          <xm:sqref>I15:I19</xm:sqref>
        </x14:dataValidation>
        <x14:dataValidation type="list" allowBlank="1" showInputMessage="1" showErrorMessage="1">
          <x14:formula1>
            <xm:f>Metas!$H$2</xm:f>
          </x14:formula1>
          <xm:sqref>H15:H19</xm:sqref>
        </x14:dataValidation>
        <x14:dataValidation type="list" allowBlank="1" showInputMessage="1" showErrorMessage="1" errorTitle="No está en lista" error="Debe seleccionar un elemento de la lista">
          <x14:formula1>
            <xm:f>Metas!$B$2:$B$278</xm:f>
          </x14:formula1>
          <xm:sqref>B3:L3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A73"/>
  <sheetViews>
    <sheetView zoomScale="85" zoomScaleNormal="85" workbookViewId="0">
      <selection activeCell="G70" sqref="G70"/>
    </sheetView>
  </sheetViews>
  <sheetFormatPr baseColWidth="10" defaultRowHeight="15" x14ac:dyDescent="0.25"/>
  <cols>
    <col min="1" max="1" width="125.7109375" style="57" customWidth="1"/>
  </cols>
  <sheetData>
    <row r="1" spans="1:1" x14ac:dyDescent="0.25">
      <c r="A1" s="58" t="s">
        <v>972</v>
      </c>
    </row>
    <row r="3" spans="1:1" x14ac:dyDescent="0.25">
      <c r="A3" s="57" t="s">
        <v>1002</v>
      </c>
    </row>
    <row r="5" spans="1:1" x14ac:dyDescent="0.25">
      <c r="A5" s="57" t="s">
        <v>1001</v>
      </c>
    </row>
    <row r="7" spans="1:1" ht="30" x14ac:dyDescent="0.25">
      <c r="A7" s="57" t="s">
        <v>973</v>
      </c>
    </row>
    <row r="9" spans="1:1" ht="30" x14ac:dyDescent="0.25">
      <c r="A9" s="57" t="s">
        <v>974</v>
      </c>
    </row>
    <row r="11" spans="1:1" ht="30" x14ac:dyDescent="0.25">
      <c r="A11" s="57" t="s">
        <v>975</v>
      </c>
    </row>
    <row r="13" spans="1:1" ht="30" x14ac:dyDescent="0.25">
      <c r="A13" s="57" t="s">
        <v>976</v>
      </c>
    </row>
    <row r="15" spans="1:1" x14ac:dyDescent="0.25">
      <c r="A15" s="57" t="s">
        <v>977</v>
      </c>
    </row>
    <row r="31" spans="1:1" ht="30" x14ac:dyDescent="0.25">
      <c r="A31" s="57" t="s">
        <v>978</v>
      </c>
    </row>
    <row r="32" spans="1:1" x14ac:dyDescent="0.25">
      <c r="A32" s="57" t="s">
        <v>979</v>
      </c>
    </row>
    <row r="33" spans="1:1" ht="30" x14ac:dyDescent="0.25">
      <c r="A33" s="57" t="s">
        <v>980</v>
      </c>
    </row>
    <row r="35" spans="1:1" x14ac:dyDescent="0.25">
      <c r="A35" s="57" t="s">
        <v>981</v>
      </c>
    </row>
    <row r="37" spans="1:1" ht="30" x14ac:dyDescent="0.25">
      <c r="A37" s="57" t="s">
        <v>982</v>
      </c>
    </row>
    <row r="39" spans="1:1" ht="30" x14ac:dyDescent="0.25">
      <c r="A39" s="57" t="s">
        <v>983</v>
      </c>
    </row>
    <row r="41" spans="1:1" ht="30" x14ac:dyDescent="0.25">
      <c r="A41" s="57" t="s">
        <v>984</v>
      </c>
    </row>
    <row r="43" spans="1:1" x14ac:dyDescent="0.25">
      <c r="A43" s="57" t="s">
        <v>985</v>
      </c>
    </row>
    <row r="45" spans="1:1" x14ac:dyDescent="0.25">
      <c r="A45" s="57" t="s">
        <v>986</v>
      </c>
    </row>
    <row r="47" spans="1:1" ht="30" x14ac:dyDescent="0.25">
      <c r="A47" s="57" t="s">
        <v>987</v>
      </c>
    </row>
    <row r="49" spans="1:1" ht="30" x14ac:dyDescent="0.25">
      <c r="A49" s="57" t="s">
        <v>988</v>
      </c>
    </row>
    <row r="51" spans="1:1" ht="30" x14ac:dyDescent="0.25">
      <c r="A51" s="57" t="s">
        <v>989</v>
      </c>
    </row>
    <row r="53" spans="1:1" x14ac:dyDescent="0.25">
      <c r="A53" s="57" t="s">
        <v>990</v>
      </c>
    </row>
    <row r="55" spans="1:1" ht="30" x14ac:dyDescent="0.25">
      <c r="A55" s="57" t="s">
        <v>1000</v>
      </c>
    </row>
    <row r="57" spans="1:1" ht="30" x14ac:dyDescent="0.25">
      <c r="A57" s="57" t="s">
        <v>991</v>
      </c>
    </row>
    <row r="59" spans="1:1" x14ac:dyDescent="0.25">
      <c r="A59" s="57" t="s">
        <v>992</v>
      </c>
    </row>
    <row r="61" spans="1:1" ht="30" x14ac:dyDescent="0.25">
      <c r="A61" s="57" t="s">
        <v>993</v>
      </c>
    </row>
    <row r="63" spans="1:1" x14ac:dyDescent="0.25">
      <c r="A63" s="57" t="s">
        <v>994</v>
      </c>
    </row>
    <row r="65" spans="1:1" x14ac:dyDescent="0.25">
      <c r="A65" s="57" t="s">
        <v>995</v>
      </c>
    </row>
    <row r="67" spans="1:1" x14ac:dyDescent="0.25">
      <c r="A67" s="57" t="s">
        <v>996</v>
      </c>
    </row>
    <row r="69" spans="1:1" x14ac:dyDescent="0.25">
      <c r="A69" s="57" t="s">
        <v>997</v>
      </c>
    </row>
    <row r="71" spans="1:1" ht="45" x14ac:dyDescent="0.25">
      <c r="A71" s="57" t="s">
        <v>998</v>
      </c>
    </row>
    <row r="73" spans="1:1" ht="45" x14ac:dyDescent="0.25">
      <c r="A73" s="57" t="s">
        <v>999</v>
      </c>
    </row>
  </sheetData>
  <sheetProtection password="CEFA" sheet="1" objects="1" scenarios="1"/>
  <pageMargins left="0.25" right="0.25" top="0.75" bottom="0.75" header="0.3" footer="0.3"/>
  <pageSetup paperSize="190" scale="6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3" tint="0.39997558519241921"/>
    <pageSetUpPr fitToPage="1"/>
  </sheetPr>
  <dimension ref="A1:W33"/>
  <sheetViews>
    <sheetView showGridLines="0" workbookViewId="0">
      <pane xSplit="1" ySplit="14" topLeftCell="B21" activePane="bottomRight" state="frozen"/>
      <selection pane="topRight" activeCell="B1" sqref="B1"/>
      <selection pane="bottomLeft" activeCell="A15" sqref="A15"/>
      <selection pane="bottomRight" activeCell="N13" sqref="N13"/>
    </sheetView>
  </sheetViews>
  <sheetFormatPr baseColWidth="10" defaultRowHeight="12" x14ac:dyDescent="0.2"/>
  <cols>
    <col min="1" max="1" width="25" style="8" customWidth="1"/>
    <col min="2" max="5" width="1" style="8" customWidth="1"/>
    <col min="6" max="8" width="10.85546875" style="8" customWidth="1"/>
    <col min="9" max="9" width="42.42578125" style="8" customWidth="1"/>
    <col min="10" max="21" width="11.7109375" style="8" customWidth="1"/>
    <col min="22" max="22" width="16.5703125" style="8" customWidth="1"/>
    <col min="23" max="23" width="11.42578125" style="118"/>
    <col min="24" max="16384" width="11.42578125" style="8"/>
  </cols>
  <sheetData>
    <row r="1" spans="1:23" ht="23.25" customHeight="1" x14ac:dyDescent="0.2">
      <c r="A1" s="141" t="s">
        <v>1228</v>
      </c>
      <c r="B1" s="142"/>
      <c r="C1" s="142"/>
      <c r="D1" s="142"/>
      <c r="E1" s="142"/>
      <c r="F1" s="142"/>
      <c r="G1" s="142"/>
      <c r="H1" s="142"/>
      <c r="I1" s="142"/>
      <c r="J1" s="38" t="s">
        <v>957</v>
      </c>
      <c r="K1" s="40">
        <v>1</v>
      </c>
      <c r="L1" s="7"/>
      <c r="M1" s="7"/>
      <c r="N1" s="7"/>
      <c r="O1" s="7"/>
      <c r="P1" s="7"/>
      <c r="Q1" s="7"/>
      <c r="R1" s="7"/>
      <c r="S1" s="7"/>
      <c r="T1" s="7"/>
      <c r="U1" s="7"/>
      <c r="V1" s="7"/>
    </row>
    <row r="2" spans="1:23" ht="3.75" customHeight="1" x14ac:dyDescent="0.2">
      <c r="A2" s="9"/>
      <c r="B2" s="9"/>
      <c r="C2" s="9"/>
      <c r="D2" s="9"/>
      <c r="E2" s="9"/>
      <c r="F2" s="9"/>
      <c r="G2" s="7"/>
      <c r="H2" s="7"/>
      <c r="I2" s="7"/>
      <c r="J2" s="7"/>
      <c r="K2" s="7"/>
      <c r="L2" s="7"/>
      <c r="M2" s="7"/>
      <c r="N2" s="7"/>
      <c r="O2" s="7"/>
      <c r="P2" s="7"/>
      <c r="Q2" s="7"/>
      <c r="R2" s="7"/>
      <c r="S2" s="7"/>
      <c r="T2" s="7"/>
      <c r="U2" s="7"/>
      <c r="V2" s="7"/>
    </row>
    <row r="3" spans="1:23" ht="18.75" customHeight="1" x14ac:dyDescent="0.2">
      <c r="A3" s="10" t="s">
        <v>4</v>
      </c>
      <c r="B3" s="139" t="s">
        <v>1144</v>
      </c>
      <c r="C3" s="140"/>
      <c r="D3" s="140"/>
      <c r="E3" s="140"/>
      <c r="F3" s="140"/>
      <c r="G3" s="140"/>
      <c r="H3" s="140"/>
      <c r="I3" s="140"/>
      <c r="J3" s="140"/>
      <c r="K3" s="140"/>
      <c r="L3" s="140"/>
      <c r="M3" s="11"/>
      <c r="N3" s="11"/>
      <c r="O3" s="11"/>
      <c r="P3" s="11"/>
      <c r="Q3" s="11"/>
      <c r="R3" s="11"/>
      <c r="S3" s="11"/>
      <c r="T3" s="11"/>
      <c r="U3" s="11"/>
      <c r="V3" s="11"/>
    </row>
    <row r="4" spans="1:23" ht="3.75" customHeight="1" x14ac:dyDescent="0.2">
      <c r="B4" s="111"/>
      <c r="C4" s="111"/>
      <c r="D4" s="111"/>
      <c r="E4" s="111"/>
      <c r="F4" s="111"/>
      <c r="G4" s="111"/>
      <c r="H4" s="111"/>
      <c r="I4" s="111"/>
      <c r="J4" s="112"/>
      <c r="K4" s="112"/>
      <c r="L4" s="112"/>
      <c r="M4" s="11"/>
      <c r="N4" s="11"/>
      <c r="O4" s="11"/>
      <c r="P4" s="11"/>
      <c r="Q4" s="11"/>
      <c r="R4" s="11"/>
      <c r="S4" s="11"/>
      <c r="T4" s="11"/>
      <c r="U4" s="11"/>
      <c r="V4" s="11"/>
    </row>
    <row r="5" spans="1:23" x14ac:dyDescent="0.2">
      <c r="A5" s="8" t="s">
        <v>5</v>
      </c>
      <c r="B5" s="145" t="s">
        <v>1145</v>
      </c>
      <c r="C5" s="146"/>
      <c r="D5" s="146"/>
      <c r="E5" s="146"/>
      <c r="F5" s="146"/>
      <c r="G5" s="146"/>
      <c r="H5" s="146"/>
      <c r="I5" s="146"/>
      <c r="J5" s="146"/>
      <c r="K5" s="146"/>
      <c r="L5" s="147"/>
      <c r="M5" s="11"/>
      <c r="N5" s="11"/>
      <c r="O5" s="11"/>
      <c r="P5" s="11"/>
      <c r="Q5" s="11"/>
      <c r="R5" s="11"/>
      <c r="S5" s="11"/>
      <c r="T5" s="11"/>
      <c r="U5" s="11"/>
      <c r="V5" s="11"/>
    </row>
    <row r="6" spans="1:23" ht="3.75" customHeight="1" x14ac:dyDescent="0.2">
      <c r="B6" s="13"/>
      <c r="C6" s="13"/>
      <c r="D6" s="13"/>
      <c r="E6" s="13"/>
      <c r="F6" s="13"/>
      <c r="G6" s="13"/>
      <c r="H6" s="13"/>
      <c r="I6" s="13"/>
      <c r="J6" s="11"/>
      <c r="K6" s="11"/>
      <c r="L6" s="11"/>
      <c r="M6" s="11"/>
      <c r="N6" s="11"/>
      <c r="O6" s="11"/>
      <c r="P6" s="11"/>
      <c r="Q6" s="11"/>
      <c r="R6" s="11"/>
      <c r="S6" s="11"/>
      <c r="T6" s="11"/>
      <c r="U6" s="11"/>
      <c r="V6" s="11"/>
    </row>
    <row r="7" spans="1:23" ht="48" customHeight="1" x14ac:dyDescent="0.2">
      <c r="A7" s="14" t="s">
        <v>6</v>
      </c>
      <c r="B7" s="148"/>
      <c r="C7" s="149"/>
      <c r="D7" s="149"/>
      <c r="E7" s="149"/>
      <c r="F7" s="149"/>
      <c r="G7" s="149"/>
      <c r="H7" s="149"/>
      <c r="I7" s="149"/>
      <c r="J7" s="149"/>
      <c r="K7" s="149"/>
      <c r="L7" s="150"/>
      <c r="M7" s="11"/>
      <c r="N7" s="11"/>
      <c r="O7" s="11"/>
      <c r="P7" s="11"/>
      <c r="Q7" s="11"/>
      <c r="R7" s="11"/>
      <c r="S7" s="11"/>
      <c r="T7" s="11"/>
      <c r="U7" s="11"/>
      <c r="V7" s="11"/>
    </row>
    <row r="8" spans="1:23" ht="21.75" customHeight="1" x14ac:dyDescent="0.2">
      <c r="B8" s="13"/>
      <c r="C8" s="13"/>
      <c r="D8" s="13"/>
      <c r="E8" s="13"/>
      <c r="F8" s="13"/>
      <c r="G8" s="13"/>
      <c r="H8" s="13"/>
      <c r="I8" s="13"/>
      <c r="J8" s="11"/>
      <c r="K8" s="11"/>
      <c r="L8" s="11"/>
      <c r="M8" s="11"/>
      <c r="N8" s="11"/>
      <c r="O8" s="11"/>
      <c r="P8" s="11"/>
      <c r="Q8" s="11"/>
      <c r="R8" s="11"/>
      <c r="S8" s="11"/>
      <c r="T8" s="11"/>
      <c r="U8" s="11"/>
      <c r="V8" s="11"/>
    </row>
    <row r="9" spans="1:23" ht="13.5" customHeight="1" x14ac:dyDescent="0.2">
      <c r="A9" s="14" t="s">
        <v>1179</v>
      </c>
      <c r="B9" s="151" t="s">
        <v>1182</v>
      </c>
      <c r="C9" s="152"/>
      <c r="D9" s="152"/>
      <c r="E9" s="152"/>
      <c r="F9" s="152"/>
      <c r="G9" s="152"/>
      <c r="H9" s="152"/>
      <c r="I9" s="152"/>
      <c r="J9" s="152"/>
      <c r="K9" s="152"/>
      <c r="L9" s="153"/>
      <c r="M9" s="11"/>
      <c r="N9" s="11"/>
      <c r="O9" s="11"/>
      <c r="P9" s="11"/>
      <c r="Q9" s="11"/>
      <c r="R9" s="11"/>
      <c r="S9" s="11"/>
      <c r="T9" s="11"/>
      <c r="U9" s="11"/>
      <c r="V9" s="11"/>
    </row>
    <row r="10" spans="1:23" ht="14.25" customHeight="1" x14ac:dyDescent="0.2">
      <c r="B10" s="143" t="s">
        <v>1180</v>
      </c>
      <c r="C10" s="143"/>
      <c r="D10" s="143"/>
      <c r="E10" s="143"/>
      <c r="F10" s="143"/>
      <c r="G10" s="143"/>
      <c r="H10" s="143"/>
      <c r="I10" s="143"/>
      <c r="J10" s="11"/>
      <c r="K10" s="11"/>
      <c r="L10" s="11"/>
      <c r="M10" s="11"/>
      <c r="N10" s="11"/>
      <c r="O10" s="11"/>
      <c r="P10" s="11"/>
      <c r="Q10" s="11"/>
      <c r="R10" s="11"/>
      <c r="S10" s="11"/>
      <c r="T10" s="11"/>
      <c r="U10" s="11"/>
      <c r="V10" s="11"/>
    </row>
    <row r="11" spans="1:23" x14ac:dyDescent="0.2">
      <c r="B11" s="154" t="s">
        <v>1181</v>
      </c>
      <c r="C11" s="155"/>
      <c r="D11" s="155"/>
      <c r="E11" s="155"/>
      <c r="F11" s="156"/>
      <c r="G11" s="8" t="s">
        <v>3</v>
      </c>
      <c r="H11" s="157" t="s">
        <v>961</v>
      </c>
      <c r="I11" s="158"/>
      <c r="K11" s="159">
        <f>+Tabla14567891011121314151617181920212216[[#Totals],[TOTAL]]</f>
        <v>9724800</v>
      </c>
      <c r="L11" s="160"/>
    </row>
    <row r="12" spans="1:23" ht="11.2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3" s="17" customFormat="1" ht="96"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c r="W14" s="121" t="s">
        <v>1232</v>
      </c>
    </row>
    <row r="15" spans="1:23" x14ac:dyDescent="0.2">
      <c r="A15" s="47" t="s">
        <v>1147</v>
      </c>
      <c r="B15" s="41"/>
      <c r="C15" s="50"/>
      <c r="D15" s="50"/>
      <c r="E15" s="50"/>
      <c r="F15" s="51" t="s">
        <v>1146</v>
      </c>
      <c r="G15" s="51" t="s">
        <v>961</v>
      </c>
      <c r="H15" s="51" t="s">
        <v>865</v>
      </c>
      <c r="I15" s="51" t="s">
        <v>1014</v>
      </c>
      <c r="J15" s="37">
        <f>Tabla14567891011121314151617181920212216[[#This Row],[TOTAL]]/12</f>
        <v>98885.930833333332</v>
      </c>
      <c r="K15" s="37">
        <f>Tabla14567891011121314151617181920212216[[#This Row],[ENE]]</f>
        <v>98885.930833333332</v>
      </c>
      <c r="L15" s="37">
        <f>Tabla14567891011121314151617181920212216[[#This Row],[FEB]]</f>
        <v>98885.930833333332</v>
      </c>
      <c r="M15" s="37">
        <f>Tabla14567891011121314151617181920212216[[#This Row],[MAR]]</f>
        <v>98885.930833333332</v>
      </c>
      <c r="N15" s="37">
        <f>Tabla14567891011121314151617181920212216[[#This Row],[ABR]]</f>
        <v>98885.930833333332</v>
      </c>
      <c r="O15" s="37">
        <f>Tabla14567891011121314151617181920212216[[#This Row],[MAY]]</f>
        <v>98885.930833333332</v>
      </c>
      <c r="P15" s="37">
        <f>Tabla14567891011121314151617181920212216[[#This Row],[JUN]]</f>
        <v>98885.930833333332</v>
      </c>
      <c r="Q15" s="37">
        <f>Tabla14567891011121314151617181920212216[[#This Row],[JUL]]</f>
        <v>98885.930833333332</v>
      </c>
      <c r="R15" s="37">
        <f>Tabla14567891011121314151617181920212216[[#This Row],[AGO]]</f>
        <v>98885.930833333332</v>
      </c>
      <c r="S15" s="37">
        <f>Tabla14567891011121314151617181920212216[[#This Row],[SEP]]</f>
        <v>98885.930833333332</v>
      </c>
      <c r="T15" s="37">
        <f>Tabla14567891011121314151617181920212216[[#This Row],[OCT]]</f>
        <v>98885.930833333332</v>
      </c>
      <c r="U15" s="37">
        <f>Tabla14567891011121314151617181920212216[[#This Row],[NOV]]</f>
        <v>98885.930833333332</v>
      </c>
      <c r="V15" s="36">
        <f>Tabla145678910111213141516171819202122[[#Totals],[TOTAL]]</f>
        <v>1186631.17</v>
      </c>
      <c r="W15" s="119">
        <v>1</v>
      </c>
    </row>
    <row r="16" spans="1:23" x14ac:dyDescent="0.2">
      <c r="A16" s="48" t="s">
        <v>1278</v>
      </c>
      <c r="B16" s="41"/>
      <c r="C16" s="50"/>
      <c r="D16" s="50"/>
      <c r="E16" s="50"/>
      <c r="F16" s="51" t="s">
        <v>1146</v>
      </c>
      <c r="G16" s="51" t="s">
        <v>961</v>
      </c>
      <c r="H16" s="51" t="s">
        <v>865</v>
      </c>
      <c r="I16" s="51" t="s">
        <v>1014</v>
      </c>
      <c r="J16" s="37">
        <f>Tabla14567891011121314151617181920212216[[#This Row],[TOTAL]]/12</f>
        <v>2000</v>
      </c>
      <c r="K16" s="37">
        <f>Tabla14567891011121314151617181920212216[[#This Row],[ENE]]</f>
        <v>2000</v>
      </c>
      <c r="L16" s="37">
        <f>Tabla14567891011121314151617181920212216[[#This Row],[FEB]]</f>
        <v>2000</v>
      </c>
      <c r="M16" s="37">
        <f>Tabla14567891011121314151617181920212216[[#This Row],[MAR]]</f>
        <v>2000</v>
      </c>
      <c r="N16" s="37">
        <f>Tabla14567891011121314151617181920212216[[#This Row],[ABR]]</f>
        <v>2000</v>
      </c>
      <c r="O16" s="37">
        <f>Tabla14567891011121314151617181920212216[[#This Row],[MAY]]</f>
        <v>2000</v>
      </c>
      <c r="P16" s="37">
        <f>Tabla14567891011121314151617181920212216[[#This Row],[JUN]]</f>
        <v>2000</v>
      </c>
      <c r="Q16" s="37">
        <f>Tabla14567891011121314151617181920212216[[#This Row],[JUL]]</f>
        <v>2000</v>
      </c>
      <c r="R16" s="37">
        <f>Tabla14567891011121314151617181920212216[[#This Row],[AGO]]</f>
        <v>2000</v>
      </c>
      <c r="S16" s="37">
        <f>Tabla14567891011121314151617181920212216[[#This Row],[SEP]]</f>
        <v>2000</v>
      </c>
      <c r="T16" s="37">
        <f>Tabla14567891011121314151617181920212216[[#This Row],[OCT]]</f>
        <v>2000</v>
      </c>
      <c r="U16" s="37">
        <f>Tabla14567891011121314151617181920212216[[#This Row],[NOV]]</f>
        <v>2000</v>
      </c>
      <c r="V16" s="74">
        <f>Tabla1456789101112131415161718192021[[#Totals],[TOTAL]]</f>
        <v>24000</v>
      </c>
      <c r="W16" s="120">
        <v>2</v>
      </c>
    </row>
    <row r="17" spans="1:23" x14ac:dyDescent="0.2">
      <c r="A17" s="49" t="s">
        <v>1045</v>
      </c>
      <c r="B17" s="44"/>
      <c r="C17" s="52"/>
      <c r="D17" s="52"/>
      <c r="E17" s="52"/>
      <c r="F17" s="51" t="s">
        <v>1146</v>
      </c>
      <c r="G17" s="51" t="s">
        <v>961</v>
      </c>
      <c r="H17" s="51" t="s">
        <v>865</v>
      </c>
      <c r="I17" s="51" t="s">
        <v>1014</v>
      </c>
      <c r="J17" s="37">
        <f>Tabla14567891011121314151617181920212216[[#This Row],[TOTAL]]/12</f>
        <v>14150</v>
      </c>
      <c r="K17" s="37">
        <f>Tabla14567891011121314151617181920212216[[#This Row],[ENE]]</f>
        <v>14150</v>
      </c>
      <c r="L17" s="37">
        <f>Tabla14567891011121314151617181920212216[[#This Row],[FEB]]</f>
        <v>14150</v>
      </c>
      <c r="M17" s="37">
        <f>Tabla14567891011121314151617181920212216[[#This Row],[MAR]]</f>
        <v>14150</v>
      </c>
      <c r="N17" s="37">
        <f>Tabla14567891011121314151617181920212216[[#This Row],[ABR]]</f>
        <v>14150</v>
      </c>
      <c r="O17" s="37">
        <f>Tabla14567891011121314151617181920212216[[#This Row],[MAY]]</f>
        <v>14150</v>
      </c>
      <c r="P17" s="37">
        <f>Tabla14567891011121314151617181920212216[[#This Row],[JUN]]</f>
        <v>14150</v>
      </c>
      <c r="Q17" s="37">
        <f>Tabla14567891011121314151617181920212216[[#This Row],[JUL]]</f>
        <v>14150</v>
      </c>
      <c r="R17" s="37">
        <f>Tabla14567891011121314151617181920212216[[#This Row],[AGO]]</f>
        <v>14150</v>
      </c>
      <c r="S17" s="37">
        <f>Tabla14567891011121314151617181920212216[[#This Row],[SEP]]</f>
        <v>14150</v>
      </c>
      <c r="T17" s="37">
        <f>Tabla14567891011121314151617181920212216[[#This Row],[OCT]]</f>
        <v>14150</v>
      </c>
      <c r="U17" s="37">
        <f>Tabla14567891011121314151617181920212216[[#This Row],[NOV]]</f>
        <v>14150</v>
      </c>
      <c r="V17" s="74">
        <f>Tabla14567891011121314151617181920[[#Totals],[TOTAL]]</f>
        <v>169800</v>
      </c>
      <c r="W17" s="119">
        <v>3</v>
      </c>
    </row>
    <row r="18" spans="1:23" x14ac:dyDescent="0.2">
      <c r="A18" s="49" t="s">
        <v>1148</v>
      </c>
      <c r="B18" s="44"/>
      <c r="C18" s="52"/>
      <c r="D18" s="52"/>
      <c r="E18" s="52"/>
      <c r="F18" s="51" t="s">
        <v>1146</v>
      </c>
      <c r="G18" s="51" t="s">
        <v>961</v>
      </c>
      <c r="H18" s="51" t="s">
        <v>865</v>
      </c>
      <c r="I18" s="51" t="s">
        <v>1014</v>
      </c>
      <c r="J18" s="37">
        <f>Tabla14567891011121314151617181920212216[[#This Row],[TOTAL]]/12</f>
        <v>10625</v>
      </c>
      <c r="K18" s="37">
        <f>Tabla14567891011121314151617181920212216[[#This Row],[ENE]]</f>
        <v>10625</v>
      </c>
      <c r="L18" s="37">
        <f>Tabla14567891011121314151617181920212216[[#This Row],[FEB]]</f>
        <v>10625</v>
      </c>
      <c r="M18" s="37">
        <f>Tabla14567891011121314151617181920212216[[#This Row],[MAR]]</f>
        <v>10625</v>
      </c>
      <c r="N18" s="37">
        <f>Tabla14567891011121314151617181920212216[[#This Row],[ABR]]</f>
        <v>10625</v>
      </c>
      <c r="O18" s="37">
        <f>Tabla14567891011121314151617181920212216[[#This Row],[MAY]]</f>
        <v>10625</v>
      </c>
      <c r="P18" s="37">
        <f>Tabla14567891011121314151617181920212216[[#This Row],[JUN]]</f>
        <v>10625</v>
      </c>
      <c r="Q18" s="37">
        <f>Tabla14567891011121314151617181920212216[[#This Row],[JUL]]</f>
        <v>10625</v>
      </c>
      <c r="R18" s="37">
        <f>Tabla14567891011121314151617181920212216[[#This Row],[AGO]]</f>
        <v>10625</v>
      </c>
      <c r="S18" s="37">
        <f>Tabla14567891011121314151617181920212216[[#This Row],[SEP]]</f>
        <v>10625</v>
      </c>
      <c r="T18" s="37">
        <f>Tabla14567891011121314151617181920212216[[#This Row],[OCT]]</f>
        <v>10625</v>
      </c>
      <c r="U18" s="37">
        <f>Tabla14567891011121314151617181920212216[[#This Row],[NOV]]</f>
        <v>10625</v>
      </c>
      <c r="V18" s="74">
        <f>Tabla145678910111213141516171819[[#Totals],[TOTAL]]</f>
        <v>127500</v>
      </c>
      <c r="W18" s="120">
        <v>4</v>
      </c>
    </row>
    <row r="19" spans="1:23" x14ac:dyDescent="0.2">
      <c r="A19" s="75" t="s">
        <v>1132</v>
      </c>
      <c r="B19" s="76"/>
      <c r="C19" s="78"/>
      <c r="D19" s="78"/>
      <c r="E19" s="78"/>
      <c r="F19" s="51" t="s">
        <v>1146</v>
      </c>
      <c r="G19" s="51" t="s">
        <v>961</v>
      </c>
      <c r="H19" s="51" t="s">
        <v>865</v>
      </c>
      <c r="I19" s="51" t="s">
        <v>1014</v>
      </c>
      <c r="J19" s="37">
        <f>Tabla14567891011121314151617181920212216[[#This Row],[TOTAL]]/12</f>
        <v>436116.66666666669</v>
      </c>
      <c r="K19" s="37">
        <f>Tabla14567891011121314151617181920212216[[#This Row],[ENE]]</f>
        <v>436116.66666666669</v>
      </c>
      <c r="L19" s="37">
        <f>Tabla14567891011121314151617181920212216[[#This Row],[FEB]]</f>
        <v>436116.66666666669</v>
      </c>
      <c r="M19" s="37">
        <f>Tabla14567891011121314151617181920212216[[#This Row],[MAR]]</f>
        <v>436116.66666666669</v>
      </c>
      <c r="N19" s="37">
        <f>Tabla14567891011121314151617181920212216[[#This Row],[ABR]]</f>
        <v>436116.66666666669</v>
      </c>
      <c r="O19" s="37">
        <f>Tabla14567891011121314151617181920212216[[#This Row],[MAY]]</f>
        <v>436116.66666666669</v>
      </c>
      <c r="P19" s="37">
        <f>Tabla14567891011121314151617181920212216[[#This Row],[JUN]]</f>
        <v>436116.66666666669</v>
      </c>
      <c r="Q19" s="37">
        <f>Tabla14567891011121314151617181920212216[[#This Row],[JUL]]</f>
        <v>436116.66666666669</v>
      </c>
      <c r="R19" s="37">
        <f>Tabla14567891011121314151617181920212216[[#This Row],[AGO]]</f>
        <v>436116.66666666669</v>
      </c>
      <c r="S19" s="37">
        <f>Tabla14567891011121314151617181920212216[[#This Row],[SEP]]</f>
        <v>436116.66666666669</v>
      </c>
      <c r="T19" s="37">
        <f>Tabla14567891011121314151617181920212216[[#This Row],[OCT]]</f>
        <v>436116.66666666669</v>
      </c>
      <c r="U19" s="37">
        <f>Tabla14567891011121314151617181920212216[[#This Row],[NOV]]</f>
        <v>436116.66666666669</v>
      </c>
      <c r="V19" s="83">
        <f>Tabla1456789101112131415161718[[#Totals],[TOTAL]]</f>
        <v>5233400</v>
      </c>
      <c r="W19" s="119">
        <v>5</v>
      </c>
    </row>
    <row r="20" spans="1:23" x14ac:dyDescent="0.2">
      <c r="A20" s="75" t="s">
        <v>1173</v>
      </c>
      <c r="B20" s="76"/>
      <c r="C20" s="78"/>
      <c r="D20" s="78"/>
      <c r="E20" s="78"/>
      <c r="F20" s="51" t="s">
        <v>1146</v>
      </c>
      <c r="G20" s="51" t="s">
        <v>961</v>
      </c>
      <c r="H20" s="51" t="s">
        <v>865</v>
      </c>
      <c r="I20" s="51" t="s">
        <v>1153</v>
      </c>
      <c r="J20" s="37">
        <f>Tabla14567891011121314151617181920212216[[#This Row],[TOTAL]]/12</f>
        <v>10000</v>
      </c>
      <c r="K20" s="37">
        <f>Tabla14567891011121314151617181920212216[[#This Row],[ENE]]</f>
        <v>10000</v>
      </c>
      <c r="L20" s="37">
        <f>Tabla14567891011121314151617181920212216[[#This Row],[FEB]]</f>
        <v>10000</v>
      </c>
      <c r="M20" s="37">
        <f>Tabla14567891011121314151617181920212216[[#This Row],[MAR]]</f>
        <v>10000</v>
      </c>
      <c r="N20" s="37">
        <f>Tabla14567891011121314151617181920212216[[#This Row],[ABR]]</f>
        <v>10000</v>
      </c>
      <c r="O20" s="37">
        <f>Tabla14567891011121314151617181920212216[[#This Row],[MAY]]</f>
        <v>10000</v>
      </c>
      <c r="P20" s="37">
        <f>Tabla14567891011121314151617181920212216[[#This Row],[JUN]]</f>
        <v>10000</v>
      </c>
      <c r="Q20" s="37">
        <f>Tabla14567891011121314151617181920212216[[#This Row],[JUL]]</f>
        <v>10000</v>
      </c>
      <c r="R20" s="37">
        <f>Tabla14567891011121314151617181920212216[[#This Row],[AGO]]</f>
        <v>10000</v>
      </c>
      <c r="S20" s="37">
        <f>Tabla14567891011121314151617181920212216[[#This Row],[SEP]]</f>
        <v>10000</v>
      </c>
      <c r="T20" s="37">
        <f>Tabla14567891011121314151617181920212216[[#This Row],[OCT]]</f>
        <v>10000</v>
      </c>
      <c r="U20" s="37">
        <f>Tabla14567891011121314151617181920212216[[#This Row],[NOV]]</f>
        <v>10000</v>
      </c>
      <c r="V20" s="83">
        <f>Tabla1456789101112131415[[#Totals],[TOTAL]]</f>
        <v>120000</v>
      </c>
      <c r="W20" s="120">
        <v>6</v>
      </c>
    </row>
    <row r="21" spans="1:23" x14ac:dyDescent="0.2">
      <c r="A21" s="75" t="s">
        <v>1114</v>
      </c>
      <c r="B21" s="76"/>
      <c r="C21" s="78"/>
      <c r="D21" s="78"/>
      <c r="E21" s="78"/>
      <c r="F21" s="51" t="s">
        <v>1146</v>
      </c>
      <c r="G21" s="51" t="s">
        <v>961</v>
      </c>
      <c r="H21" s="51" t="s">
        <v>865</v>
      </c>
      <c r="I21" s="51" t="s">
        <v>1153</v>
      </c>
      <c r="J21" s="37">
        <v>1500</v>
      </c>
      <c r="K21" s="37">
        <v>1500</v>
      </c>
      <c r="L21" s="37">
        <f>Tabla14567891011121314151617181920212216[[#This Row],[FEB]]</f>
        <v>1500</v>
      </c>
      <c r="M21" s="37">
        <f>Tabla14567891011121314151617181920212216[[#This Row],[MAR]]</f>
        <v>1500</v>
      </c>
      <c r="N21" s="37">
        <f>Tabla14567891011121314151617181920212216[[#This Row],[ABR]]</f>
        <v>1500</v>
      </c>
      <c r="O21" s="37">
        <f>Tabla14567891011121314151617181920212216[[#This Row],[MAY]]</f>
        <v>1500</v>
      </c>
      <c r="P21" s="37">
        <f>Tabla14567891011121314151617181920212216[[#This Row],[JUN]]</f>
        <v>1500</v>
      </c>
      <c r="Q21" s="37">
        <f>Tabla14567891011121314151617181920212216[[#This Row],[JUL]]</f>
        <v>1500</v>
      </c>
      <c r="R21" s="37">
        <f>Tabla14567891011121314151617181920212216[[#This Row],[AGO]]</f>
        <v>1500</v>
      </c>
      <c r="S21" s="37">
        <f>Tabla14567891011121314151617181920212216[[#This Row],[SEP]]</f>
        <v>1500</v>
      </c>
      <c r="T21" s="37">
        <f>Tabla14567891011121314151617181920212216[[#This Row],[OCT]]</f>
        <v>1500</v>
      </c>
      <c r="U21" s="37">
        <f>Tabla14567891011121314151617181920212216[[#This Row],[NOV]]</f>
        <v>1500</v>
      </c>
      <c r="V21" s="83">
        <v>18000</v>
      </c>
      <c r="W21" s="119">
        <v>7</v>
      </c>
    </row>
    <row r="22" spans="1:23" x14ac:dyDescent="0.2">
      <c r="A22" s="75" t="s">
        <v>1149</v>
      </c>
      <c r="B22" s="76"/>
      <c r="C22" s="78"/>
      <c r="D22" s="78"/>
      <c r="E22" s="78"/>
      <c r="F22" s="51" t="s">
        <v>1146</v>
      </c>
      <c r="G22" s="51" t="s">
        <v>961</v>
      </c>
      <c r="H22" s="51" t="s">
        <v>865</v>
      </c>
      <c r="I22" s="51" t="s">
        <v>1014</v>
      </c>
      <c r="J22" s="37">
        <f>Tabla14567891011121314151617181920212216[[#This Row],[TOTAL]]/12</f>
        <v>4000</v>
      </c>
      <c r="K22" s="37">
        <f>Tabla14567891011121314151617181920212216[[#This Row],[ENE]]</f>
        <v>4000</v>
      </c>
      <c r="L22" s="37">
        <f>Tabla14567891011121314151617181920212216[[#This Row],[FEB]]</f>
        <v>4000</v>
      </c>
      <c r="M22" s="37">
        <f>Tabla14567891011121314151617181920212216[[#This Row],[MAR]]</f>
        <v>4000</v>
      </c>
      <c r="N22" s="37">
        <f>Tabla14567891011121314151617181920212216[[#This Row],[ABR]]</f>
        <v>4000</v>
      </c>
      <c r="O22" s="37">
        <f>Tabla14567891011121314151617181920212216[[#This Row],[MAY]]</f>
        <v>4000</v>
      </c>
      <c r="P22" s="37">
        <f>Tabla14567891011121314151617181920212216[[#This Row],[JUN]]</f>
        <v>4000</v>
      </c>
      <c r="Q22" s="37">
        <f>Tabla14567891011121314151617181920212216[[#This Row],[JUL]]</f>
        <v>4000</v>
      </c>
      <c r="R22" s="37">
        <f>Tabla14567891011121314151617181920212216[[#This Row],[AGO]]</f>
        <v>4000</v>
      </c>
      <c r="S22" s="37">
        <f>Tabla14567891011121314151617181920212216[[#This Row],[SEP]]</f>
        <v>4000</v>
      </c>
      <c r="T22" s="37">
        <f>Tabla14567891011121314151617181920212216[[#This Row],[OCT]]</f>
        <v>4000</v>
      </c>
      <c r="U22" s="37">
        <f>Tabla14567891011121314151617181920212216[[#This Row],[NOV]]</f>
        <v>4000</v>
      </c>
      <c r="V22" s="83">
        <f>Tabla145678910111213[[#Totals],[TOTAL]]</f>
        <v>48000</v>
      </c>
      <c r="W22" s="120">
        <v>8</v>
      </c>
    </row>
    <row r="23" spans="1:23" x14ac:dyDescent="0.2">
      <c r="A23" s="75" t="s">
        <v>1174</v>
      </c>
      <c r="B23" s="76"/>
      <c r="C23" s="78"/>
      <c r="D23" s="78"/>
      <c r="E23" s="78"/>
      <c r="F23" s="51" t="s">
        <v>1146</v>
      </c>
      <c r="G23" s="51" t="s">
        <v>961</v>
      </c>
      <c r="H23" s="51" t="s">
        <v>865</v>
      </c>
      <c r="I23" s="51" t="s">
        <v>1014</v>
      </c>
      <c r="J23" s="37">
        <f>Tabla14567891011121314151617181920212216[[#This Row],[TOTAL]]/12</f>
        <v>1500</v>
      </c>
      <c r="K23" s="37">
        <f>Tabla14567891011121314151617181920212216[[#This Row],[ENE]]</f>
        <v>1500</v>
      </c>
      <c r="L23" s="37">
        <f>Tabla14567891011121314151617181920212216[[#This Row],[FEB]]</f>
        <v>1500</v>
      </c>
      <c r="M23" s="37">
        <f>Tabla14567891011121314151617181920212216[[#This Row],[MAR]]</f>
        <v>1500</v>
      </c>
      <c r="N23" s="37">
        <f>Tabla14567891011121314151617181920212216[[#This Row],[ABR]]</f>
        <v>1500</v>
      </c>
      <c r="O23" s="37">
        <f>Tabla14567891011121314151617181920212216[[#This Row],[MAY]]</f>
        <v>1500</v>
      </c>
      <c r="P23" s="37">
        <f>Tabla14567891011121314151617181920212216[[#This Row],[JUN]]</f>
        <v>1500</v>
      </c>
      <c r="Q23" s="37">
        <f>Tabla14567891011121314151617181920212216[[#This Row],[JUL]]</f>
        <v>1500</v>
      </c>
      <c r="R23" s="37">
        <f>Tabla14567891011121314151617181920212216[[#This Row],[AGO]]</f>
        <v>1500</v>
      </c>
      <c r="S23" s="37">
        <f>Tabla14567891011121314151617181920212216[[#This Row],[SEP]]</f>
        <v>1500</v>
      </c>
      <c r="T23" s="37">
        <f>Tabla14567891011121314151617181920212216[[#This Row],[OCT]]</f>
        <v>1500</v>
      </c>
      <c r="U23" s="37">
        <f>Tabla14567891011121314151617181920212216[[#This Row],[NOV]]</f>
        <v>1500</v>
      </c>
      <c r="V23" s="83">
        <f>Tabla1456789101112[[#Totals],[TOTAL]]</f>
        <v>18000</v>
      </c>
      <c r="W23" s="119">
        <v>9</v>
      </c>
    </row>
    <row r="24" spans="1:23" x14ac:dyDescent="0.2">
      <c r="A24" s="75" t="s">
        <v>1150</v>
      </c>
      <c r="B24" s="76"/>
      <c r="C24" s="78"/>
      <c r="D24" s="78"/>
      <c r="E24" s="78"/>
      <c r="F24" s="51" t="s">
        <v>1146</v>
      </c>
      <c r="G24" s="51" t="s">
        <v>961</v>
      </c>
      <c r="H24" s="51" t="s">
        <v>865</v>
      </c>
      <c r="I24" s="51" t="s">
        <v>1014</v>
      </c>
      <c r="J24" s="37">
        <f>Tabla14567891011121314151617181920212216[[#This Row],[TOTAL]]/12</f>
        <v>2000</v>
      </c>
      <c r="K24" s="37">
        <f>Tabla14567891011121314151617181920212216[[#This Row],[ENE]]</f>
        <v>2000</v>
      </c>
      <c r="L24" s="37">
        <f>Tabla14567891011121314151617181920212216[[#This Row],[FEB]]</f>
        <v>2000</v>
      </c>
      <c r="M24" s="37">
        <f>Tabla14567891011121314151617181920212216[[#This Row],[MAR]]</f>
        <v>2000</v>
      </c>
      <c r="N24" s="37">
        <f>Tabla14567891011121314151617181920212216[[#This Row],[ABR]]</f>
        <v>2000</v>
      </c>
      <c r="O24" s="37">
        <f>Tabla14567891011121314151617181920212216[[#This Row],[MAY]]</f>
        <v>2000</v>
      </c>
      <c r="P24" s="37">
        <f>Tabla14567891011121314151617181920212216[[#This Row],[JUN]]</f>
        <v>2000</v>
      </c>
      <c r="Q24" s="37">
        <f>Tabla14567891011121314151617181920212216[[#This Row],[JUL]]</f>
        <v>2000</v>
      </c>
      <c r="R24" s="37">
        <f>Tabla14567891011121314151617181920212216[[#This Row],[AGO]]</f>
        <v>2000</v>
      </c>
      <c r="S24" s="37">
        <f>Tabla14567891011121314151617181920212216[[#This Row],[SEP]]</f>
        <v>2000</v>
      </c>
      <c r="T24" s="37">
        <f>Tabla14567891011121314151617181920212216[[#This Row],[OCT]]</f>
        <v>2000</v>
      </c>
      <c r="U24" s="37">
        <f>Tabla14567891011121314151617181920212216[[#This Row],[NOV]]</f>
        <v>2000</v>
      </c>
      <c r="V24" s="83">
        <f>Tabla14567891011[[#Totals],[TOTAL]]</f>
        <v>24000</v>
      </c>
      <c r="W24" s="120">
        <v>10</v>
      </c>
    </row>
    <row r="25" spans="1:23" x14ac:dyDescent="0.2">
      <c r="A25" s="75" t="s">
        <v>1103</v>
      </c>
      <c r="B25" s="76"/>
      <c r="C25" s="78"/>
      <c r="D25" s="78"/>
      <c r="E25" s="78"/>
      <c r="F25" s="51" t="s">
        <v>1146</v>
      </c>
      <c r="G25" s="51" t="s">
        <v>961</v>
      </c>
      <c r="H25" s="51" t="s">
        <v>865</v>
      </c>
      <c r="I25" s="51" t="s">
        <v>1014</v>
      </c>
      <c r="J25" s="37">
        <v>30440</v>
      </c>
      <c r="K25" s="37">
        <f>Tabla14567891011121314151617181920212216[[#This Row],[ENE]]</f>
        <v>30440</v>
      </c>
      <c r="L25" s="37">
        <f>Tabla14567891011121314151617181920212216[[#This Row],[FEB]]</f>
        <v>30440</v>
      </c>
      <c r="M25" s="37">
        <f>Tabla14567891011121314151617181920212216[[#This Row],[MAR]]</f>
        <v>30440</v>
      </c>
      <c r="N25" s="37">
        <f>Tabla14567891011121314151617181920212216[[#This Row],[ABR]]</f>
        <v>30440</v>
      </c>
      <c r="O25" s="37">
        <f>Tabla14567891011121314151617181920212216[[#This Row],[MAY]]</f>
        <v>30440</v>
      </c>
      <c r="P25" s="37">
        <f>Tabla14567891011121314151617181920212216[[#This Row],[JUN]]</f>
        <v>30440</v>
      </c>
      <c r="Q25" s="37">
        <f>Tabla14567891011121314151617181920212216[[#This Row],[JUL]]</f>
        <v>30440</v>
      </c>
      <c r="R25" s="37">
        <f>Tabla14567891011121314151617181920212216[[#This Row],[AGO]]</f>
        <v>30440</v>
      </c>
      <c r="S25" s="37">
        <f>Tabla14567891011121314151617181920212216[[#This Row],[SEP]]</f>
        <v>30440</v>
      </c>
      <c r="T25" s="37">
        <f>Tabla14567891011121314151617181920212216[[#This Row],[OCT]]</f>
        <v>30440</v>
      </c>
      <c r="U25" s="37">
        <f>Tabla14567891011121314151617181920212216[[#This Row],[NOV]]</f>
        <v>30440</v>
      </c>
      <c r="V25" s="83">
        <f>Tabla145678910[[#Totals],[TOTAL]]</f>
        <v>380140.45</v>
      </c>
      <c r="W25" s="119">
        <v>11</v>
      </c>
    </row>
    <row r="26" spans="1:23" x14ac:dyDescent="0.2">
      <c r="A26" s="75" t="s">
        <v>1084</v>
      </c>
      <c r="B26" s="76"/>
      <c r="C26" s="78"/>
      <c r="D26" s="78"/>
      <c r="E26" s="78"/>
      <c r="F26" s="51" t="s">
        <v>1146</v>
      </c>
      <c r="G26" s="51" t="s">
        <v>961</v>
      </c>
      <c r="H26" s="51" t="s">
        <v>865</v>
      </c>
      <c r="I26" s="51" t="s">
        <v>1153</v>
      </c>
      <c r="J26" s="37">
        <f>Tabla14567891011121314151617181920212216[[#This Row],[TOTAL]]/12</f>
        <v>44527.568333333336</v>
      </c>
      <c r="K26" s="37">
        <f>Tabla14567891011121314151617181920212216[[#This Row],[ENE]]</f>
        <v>44527.568333333336</v>
      </c>
      <c r="L26" s="37">
        <f>Tabla14567891011121314151617181920212216[[#This Row],[FEB]]</f>
        <v>44527.568333333336</v>
      </c>
      <c r="M26" s="37">
        <f>Tabla14567891011121314151617181920212216[[#This Row],[MAR]]</f>
        <v>44527.568333333336</v>
      </c>
      <c r="N26" s="37">
        <f>Tabla14567891011121314151617181920212216[[#This Row],[ABR]]</f>
        <v>44527.568333333336</v>
      </c>
      <c r="O26" s="37">
        <f>Tabla14567891011121314151617181920212216[[#This Row],[MAY]]</f>
        <v>44527.568333333336</v>
      </c>
      <c r="P26" s="37">
        <f>Tabla14567891011121314151617181920212216[[#This Row],[JUN]]</f>
        <v>44527.568333333336</v>
      </c>
      <c r="Q26" s="37">
        <f>Tabla14567891011121314151617181920212216[[#This Row],[JUL]]</f>
        <v>44527.568333333336</v>
      </c>
      <c r="R26" s="37">
        <f>Tabla14567891011121314151617181920212216[[#This Row],[AGO]]</f>
        <v>44527.568333333336</v>
      </c>
      <c r="S26" s="37">
        <f>Tabla14567891011121314151617181920212216[[#This Row],[SEP]]</f>
        <v>44527.568333333336</v>
      </c>
      <c r="T26" s="37">
        <f>Tabla14567891011121314151617181920212216[[#This Row],[OCT]]</f>
        <v>44527.568333333336</v>
      </c>
      <c r="U26" s="37">
        <f>Tabla14567891011121314151617181920212216[[#This Row],[NOV]]</f>
        <v>44527.568333333336</v>
      </c>
      <c r="V26" s="83">
        <f>Tabla1456789[[#Totals],[TOTAL]]</f>
        <v>534330.82000000007</v>
      </c>
      <c r="W26" s="120">
        <v>12</v>
      </c>
    </row>
    <row r="27" spans="1:23" x14ac:dyDescent="0.2">
      <c r="A27" s="75" t="s">
        <v>1075</v>
      </c>
      <c r="B27" s="76"/>
      <c r="C27" s="78"/>
      <c r="D27" s="78"/>
      <c r="E27" s="78"/>
      <c r="F27" s="51" t="s">
        <v>1146</v>
      </c>
      <c r="G27" s="51" t="s">
        <v>961</v>
      </c>
      <c r="H27" s="51" t="s">
        <v>865</v>
      </c>
      <c r="I27" s="51" t="s">
        <v>1014</v>
      </c>
      <c r="J27" s="37">
        <f>Tabla14567891011121314151617181920212216[[#This Row],[TOTAL]]/12</f>
        <v>2700</v>
      </c>
      <c r="K27" s="37">
        <f>Tabla14567891011121314151617181920212216[[#This Row],[ENE]]</f>
        <v>2700</v>
      </c>
      <c r="L27" s="37">
        <f>Tabla14567891011121314151617181920212216[[#This Row],[FEB]]</f>
        <v>2700</v>
      </c>
      <c r="M27" s="37">
        <f>Tabla14567891011121314151617181920212216[[#This Row],[MAR]]</f>
        <v>2700</v>
      </c>
      <c r="N27" s="37">
        <f>Tabla14567891011121314151617181920212216[[#This Row],[ABR]]</f>
        <v>2700</v>
      </c>
      <c r="O27" s="37">
        <f>Tabla14567891011121314151617181920212216[[#This Row],[MAY]]</f>
        <v>2700</v>
      </c>
      <c r="P27" s="37">
        <f>Tabla14567891011121314151617181920212216[[#This Row],[JUN]]</f>
        <v>2700</v>
      </c>
      <c r="Q27" s="37">
        <f>Tabla14567891011121314151617181920212216[[#This Row],[JUL]]</f>
        <v>2700</v>
      </c>
      <c r="R27" s="37">
        <f>Tabla14567891011121314151617181920212216[[#This Row],[AGO]]</f>
        <v>2700</v>
      </c>
      <c r="S27" s="37">
        <f>Tabla14567891011121314151617181920212216[[#This Row],[SEP]]</f>
        <v>2700</v>
      </c>
      <c r="T27" s="37">
        <f>Tabla14567891011121314151617181920212216[[#This Row],[OCT]]</f>
        <v>2700</v>
      </c>
      <c r="U27" s="37">
        <f>Tabla14567891011121314151617181920212216[[#This Row],[NOV]]</f>
        <v>2700</v>
      </c>
      <c r="V27" s="83">
        <f>Tabla145678[[#Totals],[TOTAL]]</f>
        <v>32400</v>
      </c>
      <c r="W27" s="119">
        <v>13</v>
      </c>
    </row>
    <row r="28" spans="1:23" x14ac:dyDescent="0.2">
      <c r="A28" s="75" t="s">
        <v>1063</v>
      </c>
      <c r="B28" s="76"/>
      <c r="C28" s="78"/>
      <c r="D28" s="78"/>
      <c r="E28" s="78"/>
      <c r="F28" s="51" t="s">
        <v>1146</v>
      </c>
      <c r="G28" s="51" t="s">
        <v>961</v>
      </c>
      <c r="H28" s="51" t="s">
        <v>865</v>
      </c>
      <c r="I28" s="51" t="s">
        <v>1014</v>
      </c>
      <c r="J28" s="37">
        <f>Tabla14567891011121314151617181920212216[[#This Row],[TOTAL]]/12</f>
        <v>5916.666666666667</v>
      </c>
      <c r="K28" s="37">
        <f>Tabla14567891011121314151617181920212216[[#This Row],[ENE]]</f>
        <v>5916.666666666667</v>
      </c>
      <c r="L28" s="37">
        <f>Tabla14567891011121314151617181920212216[[#This Row],[FEB]]</f>
        <v>5916.666666666667</v>
      </c>
      <c r="M28" s="37">
        <f>Tabla14567891011121314151617181920212216[[#This Row],[MAR]]</f>
        <v>5916.666666666667</v>
      </c>
      <c r="N28" s="37">
        <f>Tabla14567891011121314151617181920212216[[#This Row],[ABR]]</f>
        <v>5916.666666666667</v>
      </c>
      <c r="O28" s="37">
        <f>Tabla14567891011121314151617181920212216[[#This Row],[MAY]]</f>
        <v>5916.666666666667</v>
      </c>
      <c r="P28" s="37">
        <f>Tabla14567891011121314151617181920212216[[#This Row],[JUN]]</f>
        <v>5916.666666666667</v>
      </c>
      <c r="Q28" s="37">
        <f>Tabla14567891011121314151617181920212216[[#This Row],[JUL]]</f>
        <v>5916.666666666667</v>
      </c>
      <c r="R28" s="37">
        <f>Tabla14567891011121314151617181920212216[[#This Row],[AGO]]</f>
        <v>5916.666666666667</v>
      </c>
      <c r="S28" s="37">
        <f>Tabla14567891011121314151617181920212216[[#This Row],[SEP]]</f>
        <v>5916.666666666667</v>
      </c>
      <c r="T28" s="37">
        <f>Tabla14567891011121314151617181920212216[[#This Row],[OCT]]</f>
        <v>5916.666666666667</v>
      </c>
      <c r="U28" s="37">
        <f>Tabla14567891011121314151617181920212216[[#This Row],[NOV]]</f>
        <v>5916.666666666667</v>
      </c>
      <c r="V28" s="83">
        <f>Tabla14567[[#Totals],[TOTAL]]</f>
        <v>71000</v>
      </c>
      <c r="W28" s="120">
        <v>14</v>
      </c>
    </row>
    <row r="29" spans="1:23" x14ac:dyDescent="0.2">
      <c r="A29" s="75" t="s">
        <v>1151</v>
      </c>
      <c r="B29" s="76"/>
      <c r="C29" s="78"/>
      <c r="D29" s="78"/>
      <c r="E29" s="78"/>
      <c r="F29" s="51" t="s">
        <v>1146</v>
      </c>
      <c r="G29" s="51" t="s">
        <v>961</v>
      </c>
      <c r="H29" s="51" t="s">
        <v>865</v>
      </c>
      <c r="I29" s="51" t="s">
        <v>1153</v>
      </c>
      <c r="J29" s="37">
        <v>80083</v>
      </c>
      <c r="K29" s="37">
        <v>81321.500833333354</v>
      </c>
      <c r="L29" s="37">
        <v>81321.500833333354</v>
      </c>
      <c r="M29" s="37">
        <v>81321.500833333354</v>
      </c>
      <c r="N29" s="37">
        <v>81321.500833333354</v>
      </c>
      <c r="O29" s="37">
        <v>81321.500833333354</v>
      </c>
      <c r="P29" s="37">
        <v>81321.500833333354</v>
      </c>
      <c r="Q29" s="37">
        <v>81321.500833333354</v>
      </c>
      <c r="R29" s="37">
        <v>81321.500833333354</v>
      </c>
      <c r="S29" s="37">
        <v>81321.500833333354</v>
      </c>
      <c r="T29" s="37">
        <v>81321.500833333354</v>
      </c>
      <c r="U29" s="37">
        <v>81321.500833333354</v>
      </c>
      <c r="V29" s="83">
        <f>Tabla1456[[#Totals],[TOTAL]]</f>
        <v>960997.56</v>
      </c>
      <c r="W29" s="119">
        <v>15</v>
      </c>
    </row>
    <row r="30" spans="1:23" x14ac:dyDescent="0.2">
      <c r="A30" s="75" t="s">
        <v>1152</v>
      </c>
      <c r="B30" s="76"/>
      <c r="C30" s="78"/>
      <c r="D30" s="78"/>
      <c r="E30" s="78"/>
      <c r="F30" s="51" t="s">
        <v>1146</v>
      </c>
      <c r="G30" s="51" t="s">
        <v>961</v>
      </c>
      <c r="H30" s="51" t="s">
        <v>865</v>
      </c>
      <c r="I30" s="51" t="s">
        <v>1153</v>
      </c>
      <c r="J30" s="37">
        <f>Tabla14567891011121314151617181920212216[[#This Row],[TOTAL]]/12</f>
        <v>50625</v>
      </c>
      <c r="K30" s="37">
        <f>Tabla14567891011121314151617181920212216[[#This Row],[ENE]]</f>
        <v>50625</v>
      </c>
      <c r="L30" s="37">
        <f>Tabla14567891011121314151617181920212216[[#This Row],[FEB]]</f>
        <v>50625</v>
      </c>
      <c r="M30" s="37">
        <f>Tabla14567891011121314151617181920212216[[#This Row],[MAR]]</f>
        <v>50625</v>
      </c>
      <c r="N30" s="37">
        <f>Tabla14567891011121314151617181920212216[[#This Row],[ABR]]</f>
        <v>50625</v>
      </c>
      <c r="O30" s="37">
        <f>Tabla14567891011121314151617181920212216[[#This Row],[MAY]]</f>
        <v>50625</v>
      </c>
      <c r="P30" s="37">
        <f>Tabla14567891011121314151617181920212216[[#This Row],[JUN]]</f>
        <v>50625</v>
      </c>
      <c r="Q30" s="37">
        <f>Tabla14567891011121314151617181920212216[[#This Row],[JUL]]</f>
        <v>50625</v>
      </c>
      <c r="R30" s="37">
        <f>Tabla14567891011121314151617181920212216[[#This Row],[AGO]]</f>
        <v>50625</v>
      </c>
      <c r="S30" s="37">
        <f>Tabla14567891011121314151617181920212216[[#This Row],[SEP]]</f>
        <v>50625</v>
      </c>
      <c r="T30" s="37">
        <f>Tabla14567891011121314151617181920212216[[#This Row],[OCT]]</f>
        <v>50625</v>
      </c>
      <c r="U30" s="37">
        <f>Tabla14567891011121314151617181920212216[[#This Row],[NOV]]</f>
        <v>50625</v>
      </c>
      <c r="V30" s="83">
        <f>Tabla145[[#Totals],[TOTAL]]</f>
        <v>607500</v>
      </c>
      <c r="W30" s="120">
        <v>16</v>
      </c>
    </row>
    <row r="31" spans="1:23" x14ac:dyDescent="0.2">
      <c r="A31" s="49" t="s">
        <v>1221</v>
      </c>
      <c r="B31" s="76"/>
      <c r="C31" s="78"/>
      <c r="D31" s="78"/>
      <c r="E31" s="78"/>
      <c r="F31" s="51" t="s">
        <v>1146</v>
      </c>
      <c r="G31" s="51" t="s">
        <v>961</v>
      </c>
      <c r="H31" s="51" t="s">
        <v>865</v>
      </c>
      <c r="I31" s="51" t="s">
        <v>1153</v>
      </c>
      <c r="J31" s="37">
        <f>Tabla14567891011121314151617181920212216[[#This Row],[TOTAL]]/12</f>
        <v>5675</v>
      </c>
      <c r="K31" s="37">
        <f>Tabla14567891011121314151617181920212216[[#This Row],[ENE]]</f>
        <v>5675</v>
      </c>
      <c r="L31" s="37">
        <f>Tabla14567891011121314151617181920212216[[#This Row],[FEB]]</f>
        <v>5675</v>
      </c>
      <c r="M31" s="37">
        <f>Tabla14567891011121314151617181920212216[[#This Row],[MAR]]</f>
        <v>5675</v>
      </c>
      <c r="N31" s="37">
        <f>Tabla14567891011121314151617181920212216[[#This Row],[ABR]]</f>
        <v>5675</v>
      </c>
      <c r="O31" s="37">
        <f>Tabla14567891011121314151617181920212216[[#This Row],[MAY]]</f>
        <v>5675</v>
      </c>
      <c r="P31" s="37">
        <f>Tabla14567891011121314151617181920212216[[#This Row],[JUN]]</f>
        <v>5675</v>
      </c>
      <c r="Q31" s="37">
        <f>Tabla14567891011121314151617181920212216[[#This Row],[JUL]]</f>
        <v>5675</v>
      </c>
      <c r="R31" s="37">
        <f>Tabla14567891011121314151617181920212216[[#This Row],[AGO]]</f>
        <v>5675</v>
      </c>
      <c r="S31" s="37">
        <f>Tabla14567891011121314151617181920212216[[#This Row],[SEP]]</f>
        <v>5675</v>
      </c>
      <c r="T31" s="37">
        <f>Tabla14567891011121314151617181920212216[[#This Row],[OCT]]</f>
        <v>5675</v>
      </c>
      <c r="U31" s="37">
        <f>Tabla14567891011121314151617181920212216[[#This Row],[NOV]]</f>
        <v>5675</v>
      </c>
      <c r="V31" s="83">
        <f>Tabla1[[#Totals],[TOTAL]]</f>
        <v>68100</v>
      </c>
      <c r="W31" s="119">
        <v>17</v>
      </c>
    </row>
    <row r="32" spans="1:23" ht="12.75" thickBot="1" x14ac:dyDescent="0.25">
      <c r="A32" s="75" t="s">
        <v>1053</v>
      </c>
      <c r="B32" s="76"/>
      <c r="C32" s="78"/>
      <c r="D32" s="78"/>
      <c r="E32" s="78"/>
      <c r="F32" s="51" t="s">
        <v>1146</v>
      </c>
      <c r="G32" s="51" t="s">
        <v>961</v>
      </c>
      <c r="H32" s="51" t="s">
        <v>865</v>
      </c>
      <c r="I32" s="51" t="s">
        <v>1014</v>
      </c>
      <c r="J32" s="37">
        <f>Tabla14567891011121314151617181920212216[[#This Row],[TOTAL]]/12</f>
        <v>8416.6666666666661</v>
      </c>
      <c r="K32" s="37">
        <f>Tabla14567891011121314151617181920212216[[#This Row],[ENE]]</f>
        <v>8416.6666666666661</v>
      </c>
      <c r="L32" s="37">
        <f>Tabla14567891011121314151617181920212216[[#This Row],[FEB]]</f>
        <v>8416.6666666666661</v>
      </c>
      <c r="M32" s="37">
        <f>Tabla14567891011121314151617181920212216[[#This Row],[MAR]]</f>
        <v>8416.6666666666661</v>
      </c>
      <c r="N32" s="37">
        <f>Tabla14567891011121314151617181920212216[[#This Row],[ABR]]</f>
        <v>8416.6666666666661</v>
      </c>
      <c r="O32" s="37">
        <f>Tabla14567891011121314151617181920212216[[#This Row],[MAY]]</f>
        <v>8416.6666666666661</v>
      </c>
      <c r="P32" s="37">
        <f>Tabla14567891011121314151617181920212216[[#This Row],[JUN]]</f>
        <v>8416.6666666666661</v>
      </c>
      <c r="Q32" s="37">
        <f>Tabla14567891011121314151617181920212216[[#This Row],[JUL]]</f>
        <v>8416.6666666666661</v>
      </c>
      <c r="R32" s="37">
        <f>Tabla14567891011121314151617181920212216[[#This Row],[AGO]]</f>
        <v>8416.6666666666661</v>
      </c>
      <c r="S32" s="37">
        <f>Tabla14567891011121314151617181920212216[[#This Row],[SEP]]</f>
        <v>8416.6666666666661</v>
      </c>
      <c r="T32" s="37">
        <f>Tabla14567891011121314151617181920212216[[#This Row],[OCT]]</f>
        <v>8416.6666666666661</v>
      </c>
      <c r="U32" s="37">
        <f>Tabla14567891011121314151617181920212216[[#This Row],[NOV]]</f>
        <v>8416.6666666666661</v>
      </c>
      <c r="V32" s="83">
        <f>Tabla14[[#Totals],[TOTAL]]</f>
        <v>101000</v>
      </c>
      <c r="W32" s="120">
        <v>18</v>
      </c>
    </row>
    <row r="33" spans="1:23" ht="15.75" thickTop="1" x14ac:dyDescent="0.2">
      <c r="A33" s="131"/>
      <c r="B33" s="80"/>
      <c r="C33" s="77"/>
      <c r="D33" s="77"/>
      <c r="E33" s="77"/>
      <c r="F33" s="132"/>
      <c r="G33" s="133"/>
      <c r="H33" s="134"/>
      <c r="I33" s="134"/>
      <c r="J33" s="128"/>
      <c r="K33" s="128"/>
      <c r="L33" s="128"/>
      <c r="M33" s="128"/>
      <c r="N33" s="128"/>
      <c r="O33" s="128"/>
      <c r="P33" s="128"/>
      <c r="Q33" s="128"/>
      <c r="R33" s="128"/>
      <c r="S33" s="128"/>
      <c r="T33" s="128"/>
      <c r="U33" s="129" t="s">
        <v>9</v>
      </c>
      <c r="V33" s="130">
        <f>SUBTOTAL(109,Tabla14567891011121314151617181920212216[TOTAL])</f>
        <v>9724800</v>
      </c>
      <c r="W33" s="135"/>
    </row>
  </sheetData>
  <sheetProtection formatColumns="0" formatRows="0"/>
  <mergeCells count="10">
    <mergeCell ref="B3:L3"/>
    <mergeCell ref="A1:I1"/>
    <mergeCell ref="B10:I10"/>
    <mergeCell ref="B12:V12"/>
    <mergeCell ref="B5:L5"/>
    <mergeCell ref="B7:L7"/>
    <mergeCell ref="B9:L9"/>
    <mergeCell ref="B11:F11"/>
    <mergeCell ref="H11:I11"/>
    <mergeCell ref="K11:L11"/>
  </mergeCells>
  <printOptions horizontalCentered="1" verticalCentered="1"/>
  <pageMargins left="7.874015748031496E-2" right="7.874015748031496E-2" top="0.35433070866141736" bottom="0.55118110236220474" header="0.31496062992125984" footer="0.31496062992125984"/>
  <pageSetup paperSize="190" scale="61"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3" tint="0.39997558519241921"/>
    <pageSetUpPr fitToPage="1"/>
  </sheetPr>
  <dimension ref="A1:V31"/>
  <sheetViews>
    <sheetView showGridLines="0" tabSelected="1" workbookViewId="0">
      <pane xSplit="1" ySplit="14" topLeftCell="J15" activePane="bottomRight" state="frozen"/>
      <selection pane="topRight" activeCell="B1" sqref="B1"/>
      <selection pane="bottomLeft" activeCell="A15" sqref="A15"/>
      <selection pane="bottomRight" activeCell="J25" sqref="J25"/>
    </sheetView>
  </sheetViews>
  <sheetFormatPr baseColWidth="10" defaultRowHeight="12" x14ac:dyDescent="0.2"/>
  <cols>
    <col min="1" max="1" width="25" style="8" customWidth="1"/>
    <col min="2" max="5" width="10.85546875" style="8" customWidth="1"/>
    <col min="6" max="6" width="15.5703125" style="8" customWidth="1"/>
    <col min="7" max="8" width="10.85546875" style="8" customWidth="1"/>
    <col min="9" max="9" width="42.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1016</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958</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48" t="s">
        <v>959</v>
      </c>
      <c r="C7" s="149"/>
      <c r="D7" s="149"/>
      <c r="E7" s="149"/>
      <c r="F7" s="149"/>
      <c r="G7" s="149"/>
      <c r="H7" s="149"/>
      <c r="I7" s="149"/>
      <c r="J7" s="149"/>
      <c r="K7" s="149"/>
      <c r="L7" s="150"/>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48" t="s">
        <v>1163</v>
      </c>
      <c r="C9" s="149"/>
      <c r="D9" s="149"/>
      <c r="E9" s="149"/>
      <c r="F9" s="149"/>
      <c r="G9" s="149"/>
      <c r="H9" s="149"/>
      <c r="I9" s="149"/>
      <c r="J9" s="149"/>
      <c r="K9" s="149"/>
      <c r="L9" s="150"/>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4" t="s">
        <v>1164</v>
      </c>
      <c r="C11" s="155"/>
      <c r="D11" s="155"/>
      <c r="E11" s="155"/>
      <c r="F11" s="156"/>
      <c r="G11" s="8" t="s">
        <v>3</v>
      </c>
      <c r="H11" s="157" t="s">
        <v>961</v>
      </c>
      <c r="I11" s="158"/>
      <c r="K11" s="159">
        <f>+Tabla145678910111213141516171819202122[[#Totals],[TOTAL]]</f>
        <v>1186631.17</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x14ac:dyDescent="0.2">
      <c r="A15" s="47" t="s">
        <v>962</v>
      </c>
      <c r="B15" s="41" t="s">
        <v>1017</v>
      </c>
      <c r="C15" s="50">
        <v>100</v>
      </c>
      <c r="D15" s="50" t="s">
        <v>1233</v>
      </c>
      <c r="E15" s="50">
        <v>18</v>
      </c>
      <c r="F15" s="51" t="s">
        <v>1258</v>
      </c>
      <c r="G15" s="51" t="s">
        <v>961</v>
      </c>
      <c r="H15" s="51" t="s">
        <v>865</v>
      </c>
      <c r="I15" s="51" t="s">
        <v>1014</v>
      </c>
      <c r="J15" s="37">
        <v>6000</v>
      </c>
      <c r="K15" s="37">
        <v>6000</v>
      </c>
      <c r="L15" s="37">
        <v>6000</v>
      </c>
      <c r="M15" s="37">
        <v>6000</v>
      </c>
      <c r="N15" s="37">
        <v>6000</v>
      </c>
      <c r="O15" s="37">
        <v>6000</v>
      </c>
      <c r="P15" s="37">
        <v>6000</v>
      </c>
      <c r="Q15" s="37">
        <v>6000</v>
      </c>
      <c r="R15" s="37">
        <v>6000</v>
      </c>
      <c r="S15" s="37">
        <v>6000</v>
      </c>
      <c r="T15" s="37">
        <v>6000</v>
      </c>
      <c r="U15" s="37">
        <v>6000</v>
      </c>
      <c r="V15" s="36">
        <f>SUM(Tabla145678910111213141516171819202122[[#This Row],[ENE]:[DIC]])</f>
        <v>72000</v>
      </c>
    </row>
    <row r="16" spans="1:22" x14ac:dyDescent="0.2">
      <c r="A16" s="48" t="s">
        <v>1018</v>
      </c>
      <c r="B16" s="41" t="s">
        <v>1022</v>
      </c>
      <c r="C16" s="50">
        <v>100</v>
      </c>
      <c r="D16" s="50" t="s">
        <v>1259</v>
      </c>
      <c r="E16" s="50">
        <v>48</v>
      </c>
      <c r="F16" s="53" t="s">
        <v>1257</v>
      </c>
      <c r="G16" s="51" t="s">
        <v>961</v>
      </c>
      <c r="H16" s="51" t="s">
        <v>865</v>
      </c>
      <c r="I16" s="51" t="s">
        <v>1014</v>
      </c>
      <c r="J16" s="60">
        <v>10000</v>
      </c>
      <c r="K16" s="60">
        <v>10000</v>
      </c>
      <c r="L16" s="60">
        <v>10000</v>
      </c>
      <c r="M16" s="60">
        <v>10000</v>
      </c>
      <c r="N16" s="60">
        <v>10000</v>
      </c>
      <c r="O16" s="60">
        <v>10000</v>
      </c>
      <c r="P16" s="60">
        <v>10000</v>
      </c>
      <c r="Q16" s="60">
        <v>10000</v>
      </c>
      <c r="R16" s="60">
        <v>10000</v>
      </c>
      <c r="S16" s="60">
        <v>10000</v>
      </c>
      <c r="T16" s="60">
        <v>10000</v>
      </c>
      <c r="U16" s="60">
        <v>10000</v>
      </c>
      <c r="V16" s="74">
        <f>SUM(Tabla145678910111213141516171819202122[[#This Row],[ENE]:[DIC]])</f>
        <v>120000</v>
      </c>
    </row>
    <row r="17" spans="1:22" x14ac:dyDescent="0.2">
      <c r="A17" s="49" t="s">
        <v>1019</v>
      </c>
      <c r="B17" s="44" t="s">
        <v>1024</v>
      </c>
      <c r="C17" s="52">
        <v>100</v>
      </c>
      <c r="D17" s="52" t="s">
        <v>1234</v>
      </c>
      <c r="E17" s="52">
        <v>1</v>
      </c>
      <c r="F17" s="53" t="s">
        <v>1257</v>
      </c>
      <c r="G17" s="52" t="s">
        <v>961</v>
      </c>
      <c r="H17" s="54" t="s">
        <v>865</v>
      </c>
      <c r="I17" s="54" t="s">
        <v>1014</v>
      </c>
      <c r="J17" s="60">
        <v>2984</v>
      </c>
      <c r="K17" s="60">
        <v>418</v>
      </c>
      <c r="L17" s="60">
        <v>418</v>
      </c>
      <c r="M17" s="60">
        <v>418</v>
      </c>
      <c r="N17" s="60">
        <v>418</v>
      </c>
      <c r="O17" s="60">
        <v>418</v>
      </c>
      <c r="P17" s="60">
        <v>418</v>
      </c>
      <c r="Q17" s="60">
        <v>418</v>
      </c>
      <c r="R17" s="60">
        <v>418</v>
      </c>
      <c r="S17" s="60">
        <v>418</v>
      </c>
      <c r="T17" s="60">
        <v>418</v>
      </c>
      <c r="U17" s="60">
        <v>418</v>
      </c>
      <c r="V17" s="74">
        <f>SUM(Tabla145678910111213141516171819202122[[#This Row],[ENE]:[DIC]])</f>
        <v>7582</v>
      </c>
    </row>
    <row r="18" spans="1:22" x14ac:dyDescent="0.2">
      <c r="A18" s="49" t="s">
        <v>1020</v>
      </c>
      <c r="B18" s="44" t="s">
        <v>963</v>
      </c>
      <c r="C18" s="52">
        <v>100</v>
      </c>
      <c r="D18" s="52" t="s">
        <v>1235</v>
      </c>
      <c r="E18" s="52">
        <v>12</v>
      </c>
      <c r="F18" s="53" t="s">
        <v>1257</v>
      </c>
      <c r="G18" s="52" t="s">
        <v>961</v>
      </c>
      <c r="H18" s="54" t="s">
        <v>865</v>
      </c>
      <c r="I18" s="54" t="s">
        <v>1014</v>
      </c>
      <c r="J18" s="60">
        <v>28</v>
      </c>
      <c r="K18" s="60">
        <v>28</v>
      </c>
      <c r="L18" s="60">
        <v>28</v>
      </c>
      <c r="M18" s="60">
        <v>28</v>
      </c>
      <c r="N18" s="60">
        <v>28</v>
      </c>
      <c r="O18" s="60">
        <v>28</v>
      </c>
      <c r="P18" s="60">
        <v>28</v>
      </c>
      <c r="Q18" s="60">
        <v>28</v>
      </c>
      <c r="R18" s="60">
        <v>28</v>
      </c>
      <c r="S18" s="60">
        <v>28</v>
      </c>
      <c r="T18" s="60">
        <v>28</v>
      </c>
      <c r="U18" s="60">
        <v>28</v>
      </c>
      <c r="V18" s="74">
        <f>SUM(Tabla145678910111213141516171819202122[[#This Row],[ENE]:[DIC]])</f>
        <v>336</v>
      </c>
    </row>
    <row r="19" spans="1:22" x14ac:dyDescent="0.2">
      <c r="A19" s="75" t="s">
        <v>1021</v>
      </c>
      <c r="B19" s="76" t="s">
        <v>963</v>
      </c>
      <c r="C19" s="78">
        <v>100</v>
      </c>
      <c r="D19" s="52" t="s">
        <v>1236</v>
      </c>
      <c r="E19" s="78">
        <v>12</v>
      </c>
      <c r="F19" s="53" t="s">
        <v>1257</v>
      </c>
      <c r="G19" s="81" t="s">
        <v>961</v>
      </c>
      <c r="H19" s="79" t="s">
        <v>865</v>
      </c>
      <c r="I19" s="79" t="s">
        <v>1014</v>
      </c>
      <c r="J19" s="82">
        <v>1500</v>
      </c>
      <c r="K19" s="82">
        <v>1500</v>
      </c>
      <c r="L19" s="82">
        <v>1500</v>
      </c>
      <c r="M19" s="82">
        <v>1500</v>
      </c>
      <c r="N19" s="82">
        <v>1500</v>
      </c>
      <c r="O19" s="82">
        <v>1500</v>
      </c>
      <c r="P19" s="82">
        <v>1500</v>
      </c>
      <c r="Q19" s="82">
        <v>1500</v>
      </c>
      <c r="R19" s="82">
        <v>1500</v>
      </c>
      <c r="S19" s="82">
        <v>1500</v>
      </c>
      <c r="T19" s="82">
        <v>1500</v>
      </c>
      <c r="U19" s="82">
        <v>1500</v>
      </c>
      <c r="V19" s="83">
        <f>SUM(Tabla145678910111213141516171819202122[[#This Row],[ENE]:[DIC]])</f>
        <v>18000</v>
      </c>
    </row>
    <row r="20" spans="1:22" x14ac:dyDescent="0.2">
      <c r="A20" s="75" t="s">
        <v>1023</v>
      </c>
      <c r="B20" s="76" t="s">
        <v>963</v>
      </c>
      <c r="C20" s="78">
        <v>100</v>
      </c>
      <c r="D20" s="52" t="s">
        <v>1237</v>
      </c>
      <c r="E20" s="78">
        <v>12</v>
      </c>
      <c r="F20" s="53" t="s">
        <v>1257</v>
      </c>
      <c r="G20" s="81" t="s">
        <v>961</v>
      </c>
      <c r="H20" s="79" t="s">
        <v>865</v>
      </c>
      <c r="I20" s="79" t="s">
        <v>1014</v>
      </c>
      <c r="J20" s="82">
        <v>1487.89</v>
      </c>
      <c r="K20" s="82">
        <v>1487.89</v>
      </c>
      <c r="L20" s="82">
        <v>1487.89</v>
      </c>
      <c r="M20" s="82">
        <v>1487.89</v>
      </c>
      <c r="N20" s="82">
        <v>1487.89</v>
      </c>
      <c r="O20" s="82">
        <v>1487.89</v>
      </c>
      <c r="P20" s="82">
        <v>1487.89</v>
      </c>
      <c r="Q20" s="82">
        <v>1487.89</v>
      </c>
      <c r="R20" s="82">
        <v>1487.89</v>
      </c>
      <c r="S20" s="82">
        <v>1487.89</v>
      </c>
      <c r="T20" s="82">
        <v>1487.89</v>
      </c>
      <c r="U20" s="82">
        <v>1487.89</v>
      </c>
      <c r="V20" s="83">
        <f>SUM(Tabla145678910111213141516171819202122[[#This Row],[ENE]:[DIC]])</f>
        <v>17854.679999999997</v>
      </c>
    </row>
    <row r="21" spans="1:22" x14ac:dyDescent="0.2">
      <c r="A21" s="75" t="s">
        <v>1025</v>
      </c>
      <c r="B21" s="76" t="s">
        <v>1026</v>
      </c>
      <c r="C21" s="78">
        <v>100</v>
      </c>
      <c r="D21" s="52" t="s">
        <v>1238</v>
      </c>
      <c r="E21" s="78">
        <v>6</v>
      </c>
      <c r="F21" s="53" t="s">
        <v>1257</v>
      </c>
      <c r="G21" s="81" t="s">
        <v>961</v>
      </c>
      <c r="H21" s="79" t="s">
        <v>865</v>
      </c>
      <c r="I21" s="79" t="s">
        <v>1014</v>
      </c>
      <c r="J21" s="82"/>
      <c r="K21" s="82"/>
      <c r="L21" s="82"/>
      <c r="M21" s="82"/>
      <c r="N21" s="82"/>
      <c r="O21" s="82">
        <v>1500</v>
      </c>
      <c r="P21" s="82"/>
      <c r="Q21" s="82">
        <v>1500</v>
      </c>
      <c r="R21" s="82">
        <v>1500</v>
      </c>
      <c r="S21" s="82">
        <v>1500</v>
      </c>
      <c r="T21" s="82">
        <v>1500</v>
      </c>
      <c r="U21" s="82"/>
      <c r="V21" s="83">
        <f>SUM(Tabla145678910111213141516171819202122[[#This Row],[ENE]:[DIC]])</f>
        <v>7500</v>
      </c>
    </row>
    <row r="22" spans="1:22" x14ac:dyDescent="0.2">
      <c r="A22" s="75" t="s">
        <v>1027</v>
      </c>
      <c r="B22" s="76" t="s">
        <v>1026</v>
      </c>
      <c r="C22" s="78">
        <v>100</v>
      </c>
      <c r="D22" s="52" t="s">
        <v>1239</v>
      </c>
      <c r="E22" s="78">
        <v>6</v>
      </c>
      <c r="F22" s="53" t="s">
        <v>1257</v>
      </c>
      <c r="G22" s="81" t="s">
        <v>961</v>
      </c>
      <c r="H22" s="79" t="s">
        <v>865</v>
      </c>
      <c r="I22" s="79" t="s">
        <v>1014</v>
      </c>
      <c r="J22" s="82"/>
      <c r="K22" s="82"/>
      <c r="L22" s="82">
        <v>21358.49</v>
      </c>
      <c r="M22" s="82"/>
      <c r="N22" s="82"/>
      <c r="O22" s="82"/>
      <c r="P22" s="82"/>
      <c r="Q22" s="82"/>
      <c r="R22" s="82"/>
      <c r="S22" s="82"/>
      <c r="T22" s="82"/>
      <c r="U22" s="82"/>
      <c r="V22" s="83">
        <f>SUM(Tabla145678910111213141516171819202122[[#This Row],[ENE]:[DIC]])</f>
        <v>21358.49</v>
      </c>
    </row>
    <row r="23" spans="1:22" x14ac:dyDescent="0.2">
      <c r="A23" s="75" t="s">
        <v>1028</v>
      </c>
      <c r="B23" s="76" t="s">
        <v>1026</v>
      </c>
      <c r="C23" s="78">
        <v>100</v>
      </c>
      <c r="D23" s="52" t="s">
        <v>1240</v>
      </c>
      <c r="E23" s="78">
        <v>6</v>
      </c>
      <c r="F23" s="53" t="s">
        <v>1257</v>
      </c>
      <c r="G23" s="81" t="s">
        <v>1010</v>
      </c>
      <c r="H23" s="79" t="s">
        <v>865</v>
      </c>
      <c r="I23" s="79" t="s">
        <v>1014</v>
      </c>
      <c r="J23" s="82"/>
      <c r="K23" s="82">
        <v>6000</v>
      </c>
      <c r="L23" s="82"/>
      <c r="M23" s="82"/>
      <c r="N23" s="82"/>
      <c r="O23" s="82"/>
      <c r="P23" s="82"/>
      <c r="Q23" s="82"/>
      <c r="R23" s="82"/>
      <c r="S23" s="82"/>
      <c r="T23" s="82"/>
      <c r="U23" s="82"/>
      <c r="V23" s="83">
        <f>SUM(Tabla145678910111213141516171819202122[[#This Row],[ENE]:[DIC]])</f>
        <v>6000</v>
      </c>
    </row>
    <row r="24" spans="1:22" x14ac:dyDescent="0.2">
      <c r="A24" s="75" t="s">
        <v>1155</v>
      </c>
      <c r="B24" s="76" t="s">
        <v>963</v>
      </c>
      <c r="C24" s="78">
        <v>100</v>
      </c>
      <c r="D24" s="52" t="s">
        <v>1241</v>
      </c>
      <c r="E24" s="78">
        <v>24</v>
      </c>
      <c r="F24" s="53" t="s">
        <v>1257</v>
      </c>
      <c r="G24" s="19" t="s">
        <v>961</v>
      </c>
      <c r="H24" s="54" t="s">
        <v>865</v>
      </c>
      <c r="I24" s="54" t="s">
        <v>1156</v>
      </c>
      <c r="J24" s="82">
        <v>15000</v>
      </c>
      <c r="K24" s="82">
        <v>15000</v>
      </c>
      <c r="L24" s="82">
        <v>15000</v>
      </c>
      <c r="M24" s="82">
        <v>15000</v>
      </c>
      <c r="N24" s="82">
        <v>15000</v>
      </c>
      <c r="O24" s="82">
        <v>15000</v>
      </c>
      <c r="P24" s="82">
        <v>15000</v>
      </c>
      <c r="Q24" s="82">
        <v>15000</v>
      </c>
      <c r="R24" s="82">
        <v>15000</v>
      </c>
      <c r="S24" s="82">
        <v>15000</v>
      </c>
      <c r="T24" s="82">
        <v>15000</v>
      </c>
      <c r="U24" s="82">
        <v>15000</v>
      </c>
      <c r="V24" s="83">
        <f>SUM(Tabla145678910111213141516171819202122[[#This Row],[ENE]:[DIC]])</f>
        <v>180000</v>
      </c>
    </row>
    <row r="25" spans="1:22" x14ac:dyDescent="0.2">
      <c r="A25" s="49" t="s">
        <v>1157</v>
      </c>
      <c r="B25" s="44" t="s">
        <v>963</v>
      </c>
      <c r="C25" s="78">
        <v>100</v>
      </c>
      <c r="D25" s="52" t="s">
        <v>1242</v>
      </c>
      <c r="E25" s="78">
        <v>12</v>
      </c>
      <c r="F25" s="53" t="s">
        <v>1257</v>
      </c>
      <c r="G25" s="19" t="s">
        <v>961</v>
      </c>
      <c r="H25" s="54" t="s">
        <v>865</v>
      </c>
      <c r="I25" s="54" t="s">
        <v>1014</v>
      </c>
      <c r="J25" s="82">
        <v>3000</v>
      </c>
      <c r="K25" s="82">
        <v>3000</v>
      </c>
      <c r="L25" s="82">
        <v>3000</v>
      </c>
      <c r="M25" s="82">
        <v>3000</v>
      </c>
      <c r="N25" s="82">
        <v>3000</v>
      </c>
      <c r="O25" s="82">
        <v>3000</v>
      </c>
      <c r="P25" s="82">
        <v>3000</v>
      </c>
      <c r="Q25" s="82">
        <v>3000</v>
      </c>
      <c r="R25" s="82">
        <v>3000</v>
      </c>
      <c r="S25" s="82">
        <v>3000</v>
      </c>
      <c r="T25" s="82">
        <v>3000</v>
      </c>
      <c r="U25" s="82">
        <v>3000</v>
      </c>
      <c r="V25" s="83">
        <f>SUM(Tabla145678910111213141516171819202122[[#This Row],[ENE]:[DIC]])</f>
        <v>36000</v>
      </c>
    </row>
    <row r="26" spans="1:22" x14ac:dyDescent="0.2">
      <c r="A26" s="49" t="s">
        <v>1158</v>
      </c>
      <c r="B26" s="44" t="s">
        <v>963</v>
      </c>
      <c r="C26" s="78">
        <v>100</v>
      </c>
      <c r="D26" s="52" t="s">
        <v>1260</v>
      </c>
      <c r="E26" s="78">
        <v>12</v>
      </c>
      <c r="F26" s="53" t="s">
        <v>1257</v>
      </c>
      <c r="G26" s="19" t="s">
        <v>961</v>
      </c>
      <c r="H26" s="54" t="s">
        <v>865</v>
      </c>
      <c r="I26" s="54" t="s">
        <v>1014</v>
      </c>
      <c r="J26" s="82">
        <v>3000</v>
      </c>
      <c r="K26" s="82">
        <v>3000</v>
      </c>
      <c r="L26" s="82">
        <v>3000</v>
      </c>
      <c r="M26" s="82">
        <v>3000</v>
      </c>
      <c r="N26" s="82">
        <v>3000</v>
      </c>
      <c r="O26" s="82">
        <v>3000</v>
      </c>
      <c r="P26" s="82">
        <v>3000</v>
      </c>
      <c r="Q26" s="82">
        <v>3000</v>
      </c>
      <c r="R26" s="82">
        <v>3000</v>
      </c>
      <c r="S26" s="82">
        <v>3000</v>
      </c>
      <c r="T26" s="82">
        <v>3000</v>
      </c>
      <c r="U26" s="82">
        <v>3000</v>
      </c>
      <c r="V26" s="83">
        <f>SUM(Tabla145678910111213141516171819202122[[#This Row],[ENE]:[DIC]])</f>
        <v>36000</v>
      </c>
    </row>
    <row r="27" spans="1:22" x14ac:dyDescent="0.2">
      <c r="A27" s="49" t="s">
        <v>1175</v>
      </c>
      <c r="B27" s="44" t="s">
        <v>963</v>
      </c>
      <c r="C27" s="78"/>
      <c r="D27" s="52" t="s">
        <v>1243</v>
      </c>
      <c r="E27" s="78"/>
      <c r="F27" s="53" t="s">
        <v>1257</v>
      </c>
      <c r="G27" s="19" t="s">
        <v>961</v>
      </c>
      <c r="H27" s="54" t="s">
        <v>865</v>
      </c>
      <c r="I27" s="54" t="s">
        <v>1014</v>
      </c>
      <c r="J27" s="82">
        <v>5000</v>
      </c>
      <c r="K27" s="82">
        <v>5000</v>
      </c>
      <c r="L27" s="82">
        <v>5000</v>
      </c>
      <c r="M27" s="82">
        <v>5000</v>
      </c>
      <c r="N27" s="82">
        <v>5000</v>
      </c>
      <c r="O27" s="82">
        <v>5000</v>
      </c>
      <c r="P27" s="82">
        <v>5000</v>
      </c>
      <c r="Q27" s="82">
        <v>5000</v>
      </c>
      <c r="R27" s="82">
        <v>5000</v>
      </c>
      <c r="S27" s="82">
        <v>5000</v>
      </c>
      <c r="T27" s="82">
        <v>5000</v>
      </c>
      <c r="U27" s="82">
        <v>5000</v>
      </c>
      <c r="V27" s="83">
        <f>SUM(Tabla145678910111213141516171819202122[[#This Row],[ENE]:[DIC]])</f>
        <v>60000</v>
      </c>
    </row>
    <row r="28" spans="1:22" x14ac:dyDescent="0.2">
      <c r="A28" s="49" t="s">
        <v>1177</v>
      </c>
      <c r="B28" s="44" t="s">
        <v>963</v>
      </c>
      <c r="C28" s="78"/>
      <c r="D28" s="52" t="s">
        <v>1261</v>
      </c>
      <c r="E28" s="78"/>
      <c r="F28" s="53" t="s">
        <v>1257</v>
      </c>
      <c r="G28" s="19" t="s">
        <v>961</v>
      </c>
      <c r="H28" s="54" t="s">
        <v>865</v>
      </c>
      <c r="I28" s="54" t="s">
        <v>1014</v>
      </c>
      <c r="J28" s="82">
        <v>2000</v>
      </c>
      <c r="K28" s="82">
        <v>2000</v>
      </c>
      <c r="L28" s="82">
        <v>2000</v>
      </c>
      <c r="M28" s="82">
        <v>2000</v>
      </c>
      <c r="N28" s="82">
        <v>2000</v>
      </c>
      <c r="O28" s="82">
        <v>2000</v>
      </c>
      <c r="P28" s="82">
        <v>2000</v>
      </c>
      <c r="Q28" s="82">
        <v>2000</v>
      </c>
      <c r="R28" s="82">
        <v>2000</v>
      </c>
      <c r="S28" s="82">
        <v>2000</v>
      </c>
      <c r="T28" s="82">
        <v>2000</v>
      </c>
      <c r="U28" s="82">
        <v>2000</v>
      </c>
      <c r="V28" s="83">
        <f>SUM(Tabla145678910111213141516171819202122[[#This Row],[ENE]:[DIC]])</f>
        <v>24000</v>
      </c>
    </row>
    <row r="29" spans="1:22" x14ac:dyDescent="0.2">
      <c r="A29" s="49" t="s">
        <v>1176</v>
      </c>
      <c r="B29" s="44" t="s">
        <v>963</v>
      </c>
      <c r="C29" s="78"/>
      <c r="D29" s="52" t="s">
        <v>1244</v>
      </c>
      <c r="E29" s="78"/>
      <c r="F29" s="53" t="s">
        <v>1257</v>
      </c>
      <c r="G29" s="19" t="s">
        <v>961</v>
      </c>
      <c r="H29" s="54" t="s">
        <v>865</v>
      </c>
      <c r="I29" s="54" t="s">
        <v>1014</v>
      </c>
      <c r="J29" s="82">
        <v>5000</v>
      </c>
      <c r="K29" s="82">
        <v>5000</v>
      </c>
      <c r="L29" s="82">
        <v>5000</v>
      </c>
      <c r="M29" s="82">
        <v>5000</v>
      </c>
      <c r="N29" s="82">
        <v>5000</v>
      </c>
      <c r="O29" s="82">
        <v>5000</v>
      </c>
      <c r="P29" s="82">
        <v>5000</v>
      </c>
      <c r="Q29" s="82">
        <v>5000</v>
      </c>
      <c r="R29" s="82">
        <v>5000</v>
      </c>
      <c r="S29" s="82">
        <v>5000</v>
      </c>
      <c r="T29" s="82">
        <v>5000</v>
      </c>
      <c r="U29" s="82">
        <v>5000</v>
      </c>
      <c r="V29" s="83">
        <f>SUM(Tabla145678910111213141516171819202122[[#This Row],[ENE]:[DIC]])</f>
        <v>60000</v>
      </c>
    </row>
    <row r="30" spans="1:22" ht="12.75" thickBot="1" x14ac:dyDescent="0.25">
      <c r="A30" s="75" t="s">
        <v>1142</v>
      </c>
      <c r="B30" s="76" t="s">
        <v>966</v>
      </c>
      <c r="C30" s="78">
        <v>100</v>
      </c>
      <c r="D30" s="52" t="s">
        <v>1245</v>
      </c>
      <c r="E30" s="78">
        <v>2</v>
      </c>
      <c r="F30" s="53" t="s">
        <v>1257</v>
      </c>
      <c r="G30" s="81" t="s">
        <v>1143</v>
      </c>
      <c r="H30" s="79" t="s">
        <v>865</v>
      </c>
      <c r="I30" s="79" t="s">
        <v>1014</v>
      </c>
      <c r="J30" s="82"/>
      <c r="K30" s="82"/>
      <c r="L30" s="82"/>
      <c r="M30" s="82"/>
      <c r="N30" s="82"/>
      <c r="O30" s="82"/>
      <c r="P30" s="82"/>
      <c r="Q30" s="82"/>
      <c r="R30" s="82">
        <v>260000</v>
      </c>
      <c r="S30" s="82"/>
      <c r="T30" s="82"/>
      <c r="U30" s="82">
        <v>260000</v>
      </c>
      <c r="V30" s="83">
        <f>SUM(Tabla145678910111213141516171819202122[[#This Row],[ENE]:[DIC]])</f>
        <v>520000</v>
      </c>
    </row>
    <row r="31" spans="1:22" ht="15.75" thickTop="1" x14ac:dyDescent="0.2">
      <c r="A31" s="122"/>
      <c r="B31" s="80"/>
      <c r="C31" s="77"/>
      <c r="D31" s="77"/>
      <c r="E31" s="77"/>
      <c r="F31" s="123"/>
      <c r="G31" s="124"/>
      <c r="H31" s="125"/>
      <c r="I31" s="125"/>
      <c r="J31" s="115"/>
      <c r="K31" s="115"/>
      <c r="L31" s="115"/>
      <c r="M31" s="115"/>
      <c r="N31" s="115"/>
      <c r="O31" s="115"/>
      <c r="P31" s="115"/>
      <c r="Q31" s="115"/>
      <c r="R31" s="115"/>
      <c r="S31" s="115"/>
      <c r="T31" s="115"/>
      <c r="U31" s="116" t="s">
        <v>9</v>
      </c>
      <c r="V31" s="117">
        <f>SUBTOTAL(109,Tabla145678910111213141516171819202122[TOTAL])</f>
        <v>1186631.17</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55118110236220474" bottom="0.55118110236220474" header="0.31496062992125984" footer="0.31496062992125984"/>
  <pageSetup paperSize="190" scale="54"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3" tint="0.39997558519241921"/>
    <pageSetUpPr fitToPage="1"/>
  </sheetPr>
  <dimension ref="A1:V19"/>
  <sheetViews>
    <sheetView showGridLines="0" workbookViewId="0">
      <pane xSplit="1" ySplit="14" topLeftCell="B15" activePane="bottomRight" state="frozen"/>
      <selection pane="topRight" activeCell="B1" sqref="B1"/>
      <selection pane="bottomLeft" activeCell="A15" sqref="A15"/>
      <selection pane="bottomRight" activeCell="J17" sqref="J17"/>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1131</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1132</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1133</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1134</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1166</v>
      </c>
      <c r="C11" s="169"/>
      <c r="D11" s="169"/>
      <c r="E11" s="169"/>
      <c r="F11" s="158"/>
      <c r="G11" s="8" t="s">
        <v>3</v>
      </c>
      <c r="H11" s="157" t="s">
        <v>961</v>
      </c>
      <c r="I11" s="158"/>
      <c r="K11" s="159">
        <f>+Tabla1456789101112131415161718[[#Totals],[TOTAL]]</f>
        <v>5233400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1135</v>
      </c>
      <c r="B15" s="61" t="s">
        <v>1136</v>
      </c>
      <c r="C15" s="19">
        <v>100</v>
      </c>
      <c r="D15" s="19" t="s">
        <v>1247</v>
      </c>
      <c r="E15" s="66">
        <v>12</v>
      </c>
      <c r="F15" s="20" t="s">
        <v>1008</v>
      </c>
      <c r="G15" s="20" t="s">
        <v>1159</v>
      </c>
      <c r="H15" s="61" t="s">
        <v>1003</v>
      </c>
      <c r="I15" s="61" t="s">
        <v>1141</v>
      </c>
      <c r="J15" s="37">
        <v>250000</v>
      </c>
      <c r="K15" s="37">
        <v>250000</v>
      </c>
      <c r="L15" s="37">
        <v>250000</v>
      </c>
      <c r="M15" s="37">
        <v>250000</v>
      </c>
      <c r="N15" s="37">
        <v>250000</v>
      </c>
      <c r="O15" s="37">
        <v>250000</v>
      </c>
      <c r="P15" s="37">
        <v>250000</v>
      </c>
      <c r="Q15" s="37">
        <v>250000</v>
      </c>
      <c r="R15" s="37">
        <v>250000</v>
      </c>
      <c r="S15" s="37">
        <v>250000</v>
      </c>
      <c r="T15" s="37">
        <v>250000</v>
      </c>
      <c r="U15" s="37">
        <v>250000</v>
      </c>
      <c r="V15" s="36">
        <f>SUM(Tabla1456789101112131415161718[[#This Row],[ENE]:[DIC]])</f>
        <v>3000000</v>
      </c>
    </row>
    <row r="16" spans="1:22" ht="60" x14ac:dyDescent="0.2">
      <c r="A16" s="72" t="s">
        <v>1154</v>
      </c>
      <c r="B16" s="61" t="s">
        <v>1137</v>
      </c>
      <c r="C16" s="59">
        <v>100</v>
      </c>
      <c r="D16" s="63" t="s">
        <v>1262</v>
      </c>
      <c r="E16" s="59">
        <v>24</v>
      </c>
      <c r="F16" s="73" t="s">
        <v>1008</v>
      </c>
      <c r="G16" s="59" t="s">
        <v>1007</v>
      </c>
      <c r="H16" s="61" t="s">
        <v>1003</v>
      </c>
      <c r="I16" s="61" t="s">
        <v>1141</v>
      </c>
      <c r="J16" s="60">
        <v>129000</v>
      </c>
      <c r="K16" s="60">
        <v>129000</v>
      </c>
      <c r="L16" s="60">
        <v>129000</v>
      </c>
      <c r="M16" s="60">
        <v>129000</v>
      </c>
      <c r="N16" s="60">
        <v>129000</v>
      </c>
      <c r="O16" s="60">
        <v>129000</v>
      </c>
      <c r="P16" s="60">
        <v>129000</v>
      </c>
      <c r="Q16" s="60">
        <v>129000</v>
      </c>
      <c r="R16" s="60">
        <v>129000</v>
      </c>
      <c r="S16" s="60">
        <v>129000</v>
      </c>
      <c r="T16" s="60">
        <v>129000</v>
      </c>
      <c r="U16" s="60">
        <v>129000</v>
      </c>
      <c r="V16" s="74">
        <f>SUM(Tabla1456789101112131415161718[[#This Row],[ENE]:[DIC]])</f>
        <v>1548000</v>
      </c>
    </row>
    <row r="17" spans="1:22" ht="31.5" customHeight="1" x14ac:dyDescent="0.2">
      <c r="A17" s="107" t="s">
        <v>1185</v>
      </c>
      <c r="B17" s="108"/>
      <c r="C17" s="19"/>
      <c r="D17" s="19" t="s">
        <v>1263</v>
      </c>
      <c r="E17" s="19"/>
      <c r="F17" s="109"/>
      <c r="G17" s="19"/>
      <c r="H17" s="110"/>
      <c r="I17" s="110"/>
      <c r="J17" s="37">
        <v>685400</v>
      </c>
      <c r="K17" s="37"/>
      <c r="L17" s="37"/>
      <c r="M17" s="37"/>
      <c r="N17" s="37"/>
      <c r="O17" s="37"/>
      <c r="P17" s="37"/>
      <c r="Q17" s="37"/>
      <c r="R17" s="37"/>
      <c r="S17" s="37"/>
      <c r="T17" s="37"/>
      <c r="U17" s="37"/>
      <c r="V17" s="36">
        <f>SUM(Tabla1456789101112131415161718[[#This Row],[ENE]:[DIC]])</f>
        <v>685400</v>
      </c>
    </row>
    <row r="18" spans="1:22" ht="48.75" thickBot="1" x14ac:dyDescent="0.25">
      <c r="A18" s="92" t="s">
        <v>1138</v>
      </c>
      <c r="B18" s="61" t="s">
        <v>1139</v>
      </c>
      <c r="C18" s="59">
        <v>100</v>
      </c>
      <c r="D18" s="59"/>
      <c r="E18" s="59"/>
      <c r="F18" s="73"/>
      <c r="G18" s="59" t="s">
        <v>961</v>
      </c>
      <c r="H18" s="61" t="s">
        <v>1003</v>
      </c>
      <c r="I18" s="61" t="s">
        <v>867</v>
      </c>
      <c r="J18" s="60">
        <v>0</v>
      </c>
      <c r="K18" s="60">
        <v>0</v>
      </c>
      <c r="L18" s="60">
        <v>0</v>
      </c>
      <c r="M18" s="60">
        <v>0</v>
      </c>
      <c r="N18" s="60">
        <v>0</v>
      </c>
      <c r="O18" s="60">
        <v>0</v>
      </c>
      <c r="P18" s="60">
        <v>0</v>
      </c>
      <c r="Q18" s="60">
        <v>0</v>
      </c>
      <c r="R18" s="60">
        <v>0</v>
      </c>
      <c r="S18" s="60">
        <v>0</v>
      </c>
      <c r="T18" s="60">
        <v>0</v>
      </c>
      <c r="U18" s="60">
        <v>0</v>
      </c>
      <c r="V18" s="74">
        <f>SUM(Tabla1456789101112131415161718[[#This Row],[ENE]:[DIC]])</f>
        <v>0</v>
      </c>
    </row>
    <row r="19" spans="1:22" ht="12.75" thickTop="1" x14ac:dyDescent="0.2">
      <c r="A19" s="67"/>
      <c r="B19" s="68"/>
      <c r="C19" s="68"/>
      <c r="D19" s="68"/>
      <c r="E19" s="68"/>
      <c r="F19" s="69"/>
      <c r="G19" s="69"/>
      <c r="H19" s="69"/>
      <c r="I19" s="69"/>
      <c r="J19" s="69"/>
      <c r="K19" s="69"/>
      <c r="L19" s="69"/>
      <c r="M19" s="69"/>
      <c r="N19" s="69"/>
      <c r="O19" s="69"/>
      <c r="P19" s="69"/>
      <c r="Q19" s="69"/>
      <c r="R19" s="69"/>
      <c r="S19" s="69"/>
      <c r="T19" s="69"/>
      <c r="U19" s="70" t="s">
        <v>9</v>
      </c>
      <c r="V19" s="71">
        <f>SUBTOTAL(109,Tabla1456789101112131415161718[TOTAL])</f>
        <v>5233400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3" tint="0.39997558519241921"/>
    <pageSetUpPr fitToPage="1"/>
  </sheetPr>
  <dimension ref="A1:V18"/>
  <sheetViews>
    <sheetView showGridLines="0" workbookViewId="0">
      <pane xSplit="1" ySplit="14" topLeftCell="J15" activePane="bottomRight" state="frozen"/>
      <selection pane="topRight" activeCell="B1" sqref="B1"/>
      <selection pane="bottomLeft" activeCell="A15" sqref="A15"/>
      <selection pane="bottomRight" sqref="A1:V18"/>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1201</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1045</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1046</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1047</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1048</v>
      </c>
      <c r="C11" s="169"/>
      <c r="D11" s="169"/>
      <c r="E11" s="169"/>
      <c r="F11" s="158"/>
      <c r="G11" s="8" t="s">
        <v>3</v>
      </c>
      <c r="H11" s="157" t="s">
        <v>961</v>
      </c>
      <c r="I11" s="158"/>
      <c r="K11" s="159">
        <f>+Tabla14567891011121314151617181920[[#Totals],[TOTAL]]</f>
        <v>169800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48" x14ac:dyDescent="0.2">
      <c r="A15" s="18" t="s">
        <v>1049</v>
      </c>
      <c r="B15" s="61" t="s">
        <v>1202</v>
      </c>
      <c r="C15" s="19">
        <v>100</v>
      </c>
      <c r="D15" s="19" t="s">
        <v>1264</v>
      </c>
      <c r="E15" s="66">
        <v>500</v>
      </c>
      <c r="F15" s="20" t="s">
        <v>1050</v>
      </c>
      <c r="G15" s="20" t="s">
        <v>961</v>
      </c>
      <c r="H15" s="61" t="s">
        <v>1003</v>
      </c>
      <c r="I15" s="61" t="s">
        <v>1014</v>
      </c>
      <c r="J15" s="37">
        <v>2000</v>
      </c>
      <c r="K15" s="37">
        <v>2000</v>
      </c>
      <c r="L15" s="37">
        <v>2000</v>
      </c>
      <c r="M15" s="37">
        <v>2000</v>
      </c>
      <c r="N15" s="37">
        <v>2000</v>
      </c>
      <c r="O15" s="37">
        <v>2000</v>
      </c>
      <c r="P15" s="37">
        <v>2000</v>
      </c>
      <c r="Q15" s="37">
        <v>2000</v>
      </c>
      <c r="R15" s="37">
        <v>2000</v>
      </c>
      <c r="S15" s="37">
        <v>2000</v>
      </c>
      <c r="T15" s="37">
        <v>2000</v>
      </c>
      <c r="U15" s="37">
        <v>2000</v>
      </c>
      <c r="V15" s="36">
        <f>SUM(Tabla14567891011121314151617181920[[#This Row],[ENE]:[DIC]])</f>
        <v>24000</v>
      </c>
    </row>
    <row r="16" spans="1:22" ht="48" x14ac:dyDescent="0.2">
      <c r="A16" s="93" t="s">
        <v>1140</v>
      </c>
      <c r="B16" s="61" t="s">
        <v>1202</v>
      </c>
      <c r="C16" s="63">
        <v>100</v>
      </c>
      <c r="D16" s="63" t="s">
        <v>1246</v>
      </c>
      <c r="E16" s="94">
        <v>500</v>
      </c>
      <c r="F16" s="20" t="s">
        <v>1050</v>
      </c>
      <c r="G16" s="95" t="s">
        <v>961</v>
      </c>
      <c r="H16" s="61" t="s">
        <v>1003</v>
      </c>
      <c r="I16" s="61" t="s">
        <v>1014</v>
      </c>
      <c r="J16" s="96">
        <v>150</v>
      </c>
      <c r="K16" s="96">
        <v>150</v>
      </c>
      <c r="L16" s="96">
        <v>150</v>
      </c>
      <c r="M16" s="96">
        <v>150</v>
      </c>
      <c r="N16" s="96">
        <v>150</v>
      </c>
      <c r="O16" s="96">
        <v>150</v>
      </c>
      <c r="P16" s="96">
        <v>150</v>
      </c>
      <c r="Q16" s="96">
        <v>150</v>
      </c>
      <c r="R16" s="96">
        <v>150</v>
      </c>
      <c r="S16" s="96">
        <v>150</v>
      </c>
      <c r="T16" s="96">
        <v>150</v>
      </c>
      <c r="U16" s="96">
        <v>150</v>
      </c>
      <c r="V16" s="97">
        <f>SUM(Tabla14567891011121314151617181920[[#This Row],[ENE]:[DIC]])</f>
        <v>1800</v>
      </c>
    </row>
    <row r="17" spans="1:22" ht="48.75" thickBot="1" x14ac:dyDescent="0.25">
      <c r="A17" s="62" t="s">
        <v>1051</v>
      </c>
      <c r="B17" s="61" t="s">
        <v>1203</v>
      </c>
      <c r="C17" s="59">
        <v>100</v>
      </c>
      <c r="D17" s="63" t="s">
        <v>1265</v>
      </c>
      <c r="E17" s="59">
        <v>500</v>
      </c>
      <c r="F17" s="64" t="s">
        <v>1217</v>
      </c>
      <c r="G17" s="63" t="s">
        <v>961</v>
      </c>
      <c r="H17" s="61" t="s">
        <v>1003</v>
      </c>
      <c r="I17" s="61" t="s">
        <v>1014</v>
      </c>
      <c r="J17" s="60">
        <v>12000</v>
      </c>
      <c r="K17" s="60">
        <v>12000</v>
      </c>
      <c r="L17" s="60">
        <v>12000</v>
      </c>
      <c r="M17" s="60">
        <v>12000</v>
      </c>
      <c r="N17" s="60">
        <v>12000</v>
      </c>
      <c r="O17" s="60">
        <v>12000</v>
      </c>
      <c r="P17" s="60">
        <v>12000</v>
      </c>
      <c r="Q17" s="60">
        <v>12000</v>
      </c>
      <c r="R17" s="60">
        <v>12000</v>
      </c>
      <c r="S17" s="60">
        <v>12000</v>
      </c>
      <c r="T17" s="60">
        <v>12000</v>
      </c>
      <c r="U17" s="60">
        <v>12000</v>
      </c>
      <c r="V17" s="74">
        <f>SUM(Tabla14567891011121314151617181920[[#This Row],[ENE]:[DIC]])</f>
        <v>144000</v>
      </c>
    </row>
    <row r="18" spans="1:22" ht="12.75" thickTop="1" x14ac:dyDescent="0.2">
      <c r="A18" s="87"/>
      <c r="B18" s="88"/>
      <c r="C18" s="88"/>
      <c r="D18" s="88"/>
      <c r="E18" s="88"/>
      <c r="F18" s="89"/>
      <c r="G18" s="89"/>
      <c r="H18" s="89"/>
      <c r="I18" s="89"/>
      <c r="J18" s="89"/>
      <c r="K18" s="89"/>
      <c r="L18" s="89"/>
      <c r="M18" s="89"/>
      <c r="N18" s="89"/>
      <c r="O18" s="89"/>
      <c r="P18" s="89"/>
      <c r="Q18" s="89"/>
      <c r="R18" s="89"/>
      <c r="S18" s="89"/>
      <c r="T18" s="89"/>
      <c r="U18" s="90" t="s">
        <v>9</v>
      </c>
      <c r="V18" s="91">
        <f>SUBTOTAL(109,Tabla14567891011121314151617181920[TOTAL])</f>
        <v>169800</v>
      </c>
    </row>
  </sheetData>
  <sheetProtection formatColumns="0" formatRows="0"/>
  <mergeCells count="9">
    <mergeCell ref="B12:V12"/>
    <mergeCell ref="A1:F1"/>
    <mergeCell ref="B3:H3"/>
    <mergeCell ref="B5:L5"/>
    <mergeCell ref="B7:L7"/>
    <mergeCell ref="B9:L9"/>
    <mergeCell ref="B11:F11"/>
    <mergeCell ref="H11:I11"/>
    <mergeCell ref="K11:L11"/>
  </mergeCells>
  <printOptions horizontalCentered="1" verticalCentered="1"/>
  <pageMargins left="0.27559055118110237" right="0.27559055118110237" top="0.74803149606299213" bottom="0.74803149606299213" header="0.31496062992125984" footer="0.31496062992125984"/>
  <pageSetup paperSize="190" scale="55"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3" tint="0.39997558519241921"/>
    <pageSetUpPr fitToPage="1"/>
  </sheetPr>
  <dimension ref="A1:V22"/>
  <sheetViews>
    <sheetView showGridLines="0" workbookViewId="0">
      <pane xSplit="1" ySplit="14" topLeftCell="J18" activePane="bottomRight" state="frozen"/>
      <selection pane="topRight" activeCell="B1" sqref="B1"/>
      <selection pane="bottomLeft" activeCell="A15" sqref="A15"/>
      <selection pane="bottomRight" activeCell="V18" sqref="V18"/>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70" t="s">
        <v>1011</v>
      </c>
      <c r="B1" s="171"/>
      <c r="C1" s="171"/>
      <c r="D1" s="171"/>
      <c r="E1" s="171"/>
      <c r="F1" s="172"/>
      <c r="G1" s="7"/>
      <c r="H1" s="7"/>
      <c r="I1" s="7"/>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39" t="s">
        <v>1012</v>
      </c>
      <c r="C3" s="140"/>
      <c r="D3" s="140"/>
      <c r="E3" s="140"/>
      <c r="F3" s="140"/>
      <c r="G3" s="140"/>
      <c r="H3" s="140"/>
      <c r="I3" s="140"/>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1206</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1207</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1208</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73" t="s">
        <v>1029</v>
      </c>
      <c r="C11" s="174"/>
      <c r="D11" s="174"/>
      <c r="E11" s="174"/>
      <c r="F11" s="175"/>
      <c r="G11" s="8" t="s">
        <v>3</v>
      </c>
      <c r="H11" s="157" t="s">
        <v>961</v>
      </c>
      <c r="I11" s="158"/>
      <c r="K11" s="159">
        <f>+Tabla1[[#Totals],[TOTAL]]</f>
        <v>68100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48" x14ac:dyDescent="0.2">
      <c r="A15" s="18" t="s">
        <v>1209</v>
      </c>
      <c r="B15" s="19" t="s">
        <v>1211</v>
      </c>
      <c r="C15" s="19">
        <v>100</v>
      </c>
      <c r="D15" s="19" t="s">
        <v>1255</v>
      </c>
      <c r="E15" s="19">
        <v>80</v>
      </c>
      <c r="F15" s="20" t="s">
        <v>1004</v>
      </c>
      <c r="G15" s="20" t="s">
        <v>1213</v>
      </c>
      <c r="H15" s="61" t="s">
        <v>1003</v>
      </c>
      <c r="I15" s="61" t="s">
        <v>1014</v>
      </c>
      <c r="J15" s="37">
        <v>1800</v>
      </c>
      <c r="K15" s="37">
        <v>1800</v>
      </c>
      <c r="L15" s="37">
        <v>1800</v>
      </c>
      <c r="M15" s="37">
        <v>1800</v>
      </c>
      <c r="N15" s="37">
        <v>1800</v>
      </c>
      <c r="O15" s="37">
        <v>1800</v>
      </c>
      <c r="P15" s="37">
        <v>1800</v>
      </c>
      <c r="Q15" s="37">
        <v>1800</v>
      </c>
      <c r="R15" s="37">
        <v>1800</v>
      </c>
      <c r="S15" s="37">
        <v>1800</v>
      </c>
      <c r="T15" s="37">
        <v>1800</v>
      </c>
      <c r="U15" s="37">
        <v>1800</v>
      </c>
      <c r="V15" s="36">
        <f>SUM(Tabla1[[#This Row],[ENE]:[DIC]])</f>
        <v>21600</v>
      </c>
    </row>
    <row r="16" spans="1:22" ht="48" x14ac:dyDescent="0.2">
      <c r="A16" s="62" t="s">
        <v>1210</v>
      </c>
      <c r="B16" s="19" t="s">
        <v>1211</v>
      </c>
      <c r="C16" s="59">
        <v>100</v>
      </c>
      <c r="D16" s="63" t="s">
        <v>1255</v>
      </c>
      <c r="E16" s="59">
        <v>80</v>
      </c>
      <c r="F16" s="20" t="s">
        <v>1004</v>
      </c>
      <c r="G16" s="63" t="s">
        <v>1213</v>
      </c>
      <c r="H16" s="61" t="s">
        <v>1003</v>
      </c>
      <c r="I16" s="61" t="s">
        <v>1014</v>
      </c>
      <c r="J16" s="60">
        <v>800</v>
      </c>
      <c r="K16" s="60">
        <v>800</v>
      </c>
      <c r="L16" s="60">
        <v>800</v>
      </c>
      <c r="M16" s="60">
        <v>800</v>
      </c>
      <c r="N16" s="60">
        <v>800</v>
      </c>
      <c r="O16" s="60">
        <v>800</v>
      </c>
      <c r="P16" s="60">
        <v>800</v>
      </c>
      <c r="Q16" s="60">
        <v>800</v>
      </c>
      <c r="R16" s="60">
        <v>800</v>
      </c>
      <c r="S16" s="60">
        <v>800</v>
      </c>
      <c r="T16" s="60">
        <v>800</v>
      </c>
      <c r="U16" s="60">
        <v>800</v>
      </c>
      <c r="V16" s="36">
        <f>SUM(Tabla1[[#This Row],[ENE]:[DIC]])</f>
        <v>9600</v>
      </c>
    </row>
    <row r="17" spans="1:22" ht="48" x14ac:dyDescent="0.2">
      <c r="A17" s="84" t="s">
        <v>1212</v>
      </c>
      <c r="B17" s="19" t="s">
        <v>1211</v>
      </c>
      <c r="C17" s="81">
        <v>100</v>
      </c>
      <c r="D17" s="19" t="s">
        <v>1255</v>
      </c>
      <c r="E17" s="81">
        <v>80</v>
      </c>
      <c r="F17" s="20" t="s">
        <v>1004</v>
      </c>
      <c r="G17" s="81" t="s">
        <v>1214</v>
      </c>
      <c r="H17" s="61" t="s">
        <v>1003</v>
      </c>
      <c r="I17" s="61" t="s">
        <v>1014</v>
      </c>
      <c r="J17" s="113">
        <v>1000</v>
      </c>
      <c r="K17" s="113">
        <v>1000</v>
      </c>
      <c r="L17" s="113">
        <v>1000</v>
      </c>
      <c r="M17" s="113">
        <v>1000</v>
      </c>
      <c r="N17" s="113">
        <v>1000</v>
      </c>
      <c r="O17" s="113">
        <v>1000</v>
      </c>
      <c r="P17" s="113">
        <v>1000</v>
      </c>
      <c r="Q17" s="113">
        <v>1000</v>
      </c>
      <c r="R17" s="113">
        <v>1000</v>
      </c>
      <c r="S17" s="113">
        <v>1000</v>
      </c>
      <c r="T17" s="113">
        <v>1000</v>
      </c>
      <c r="U17" s="113">
        <v>1000</v>
      </c>
      <c r="V17" s="83">
        <f>SUM(Tabla1[[#This Row],[ENE]:[DIC]])</f>
        <v>12000</v>
      </c>
    </row>
    <row r="18" spans="1:22" ht="60" x14ac:dyDescent="0.2">
      <c r="A18" s="107" t="s">
        <v>1219</v>
      </c>
      <c r="B18" s="19" t="s">
        <v>1220</v>
      </c>
      <c r="C18" s="19">
        <v>100</v>
      </c>
      <c r="D18" s="19"/>
      <c r="E18" s="19">
        <v>80</v>
      </c>
      <c r="F18" s="20" t="s">
        <v>1004</v>
      </c>
      <c r="G18" s="19" t="s">
        <v>961</v>
      </c>
      <c r="H18" s="61" t="s">
        <v>1003</v>
      </c>
      <c r="I18" s="20" t="s">
        <v>870</v>
      </c>
      <c r="J18" s="114">
        <v>0</v>
      </c>
      <c r="K18" s="114"/>
      <c r="L18" s="114"/>
      <c r="M18" s="114"/>
      <c r="N18" s="114"/>
      <c r="O18" s="114"/>
      <c r="P18" s="114"/>
      <c r="Q18" s="114"/>
      <c r="R18" s="114"/>
      <c r="S18" s="114"/>
      <c r="T18" s="114"/>
      <c r="U18" s="114"/>
      <c r="V18" s="36">
        <f>SUM(Tabla1[[#This Row],[ENE]:[DIC]])</f>
        <v>0</v>
      </c>
    </row>
    <row r="19" spans="1:22" ht="48" x14ac:dyDescent="0.2">
      <c r="A19" s="107" t="s">
        <v>1218</v>
      </c>
      <c r="B19" s="19" t="s">
        <v>1211</v>
      </c>
      <c r="C19" s="19">
        <v>100</v>
      </c>
      <c r="D19" s="19" t="s">
        <v>1250</v>
      </c>
      <c r="E19" s="19">
        <v>80</v>
      </c>
      <c r="F19" s="109" t="s">
        <v>1217</v>
      </c>
      <c r="G19" s="19" t="s">
        <v>1010</v>
      </c>
      <c r="H19" s="61" t="s">
        <v>1003</v>
      </c>
      <c r="I19" s="61" t="s">
        <v>1014</v>
      </c>
      <c r="J19" s="114">
        <v>0</v>
      </c>
      <c r="K19" s="114"/>
      <c r="L19" s="114"/>
      <c r="M19" s="114"/>
      <c r="N19" s="114"/>
      <c r="O19" s="114"/>
      <c r="P19" s="114"/>
      <c r="Q19" s="114">
        <v>10000</v>
      </c>
      <c r="R19" s="114"/>
      <c r="S19" s="114"/>
      <c r="T19" s="114"/>
      <c r="U19" s="114"/>
      <c r="V19" s="36">
        <f>SUM(Tabla1[[#This Row],[ENE]:[DIC]])</f>
        <v>10000</v>
      </c>
    </row>
    <row r="20" spans="1:22" ht="48" x14ac:dyDescent="0.2">
      <c r="A20" s="107" t="s">
        <v>1215</v>
      </c>
      <c r="B20" s="19" t="s">
        <v>1216</v>
      </c>
      <c r="C20" s="19">
        <v>100</v>
      </c>
      <c r="D20" s="19" t="s">
        <v>1241</v>
      </c>
      <c r="E20" s="19">
        <v>80</v>
      </c>
      <c r="F20" s="109" t="s">
        <v>1217</v>
      </c>
      <c r="G20" s="19" t="s">
        <v>1010</v>
      </c>
      <c r="H20" s="20" t="s">
        <v>1003</v>
      </c>
      <c r="I20" s="61" t="s">
        <v>1014</v>
      </c>
      <c r="J20" s="114"/>
      <c r="K20" s="114">
        <v>2500</v>
      </c>
      <c r="L20" s="114"/>
      <c r="M20" s="114">
        <v>10000</v>
      </c>
      <c r="N20" s="114"/>
      <c r="O20" s="114"/>
      <c r="P20" s="114"/>
      <c r="Q20" s="114"/>
      <c r="R20" s="114"/>
      <c r="S20" s="114"/>
      <c r="T20" s="114"/>
      <c r="U20" s="114"/>
      <c r="V20" s="36">
        <f>SUM(Tabla1[[#This Row],[ENE]:[DIC]])</f>
        <v>12500</v>
      </c>
    </row>
    <row r="21" spans="1:22" ht="48.75" thickBot="1" x14ac:dyDescent="0.25">
      <c r="A21" s="62" t="s">
        <v>1015</v>
      </c>
      <c r="B21" s="19" t="s">
        <v>1211</v>
      </c>
      <c r="C21" s="59">
        <v>100</v>
      </c>
      <c r="D21" s="63" t="s">
        <v>1251</v>
      </c>
      <c r="E21" s="65">
        <v>80</v>
      </c>
      <c r="F21" s="20" t="s">
        <v>1004</v>
      </c>
      <c r="G21" s="63" t="s">
        <v>961</v>
      </c>
      <c r="H21" s="61" t="s">
        <v>1003</v>
      </c>
      <c r="I21" s="61" t="s">
        <v>1014</v>
      </c>
      <c r="J21" s="60">
        <v>200</v>
      </c>
      <c r="K21" s="60">
        <v>200</v>
      </c>
      <c r="L21" s="60">
        <v>200</v>
      </c>
      <c r="M21" s="60">
        <v>200</v>
      </c>
      <c r="N21" s="60">
        <v>200</v>
      </c>
      <c r="O21" s="60">
        <v>200</v>
      </c>
      <c r="P21" s="60">
        <v>200</v>
      </c>
      <c r="Q21" s="60">
        <v>200</v>
      </c>
      <c r="R21" s="60">
        <v>200</v>
      </c>
      <c r="S21" s="60">
        <v>200</v>
      </c>
      <c r="T21" s="60">
        <v>200</v>
      </c>
      <c r="U21" s="60">
        <v>200</v>
      </c>
      <c r="V21" s="36">
        <f>SUM(Tabla1[[#This Row],[ENE]:[DIC]])</f>
        <v>2400</v>
      </c>
    </row>
    <row r="22" spans="1:22" ht="12.75" thickTop="1" x14ac:dyDescent="0.2">
      <c r="A22" s="87"/>
      <c r="B22" s="88"/>
      <c r="C22" s="88"/>
      <c r="D22" s="88"/>
      <c r="E22" s="88"/>
      <c r="F22" s="89"/>
      <c r="G22" s="89"/>
      <c r="H22" s="89"/>
      <c r="I22" s="89"/>
      <c r="J22" s="89"/>
      <c r="K22" s="89"/>
      <c r="L22" s="89"/>
      <c r="M22" s="89"/>
      <c r="N22" s="89"/>
      <c r="O22" s="89"/>
      <c r="P22" s="89"/>
      <c r="Q22" s="89"/>
      <c r="R22" s="89"/>
      <c r="S22" s="89"/>
      <c r="T22" s="89"/>
      <c r="U22" s="90" t="s">
        <v>9</v>
      </c>
      <c r="V22" s="91">
        <f>SUBTOTAL(109,Tabla1[TOTAL])</f>
        <v>68100</v>
      </c>
    </row>
  </sheetData>
  <sheetProtection formatColumns="0" formatRows="0"/>
  <mergeCells count="9">
    <mergeCell ref="B5:L5"/>
    <mergeCell ref="A1:F1"/>
    <mergeCell ref="B12:V12"/>
    <mergeCell ref="K11:L11"/>
    <mergeCell ref="B7:L7"/>
    <mergeCell ref="B9:L9"/>
    <mergeCell ref="H11:I11"/>
    <mergeCell ref="B11:F11"/>
    <mergeCell ref="B3:I3"/>
  </mergeCells>
  <printOptions horizontalCentered="1" verticalCentered="1"/>
  <pageMargins left="7.874015748031496E-2" right="7.874015748031496E-2" top="0.35433070866141736" bottom="0.35433070866141736" header="0.31496062992125984" footer="0.31496062992125984"/>
  <pageSetup paperSize="190" scale="56"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errorTitle="No está en lista" error="Debe seleccionar un elemento de la lista">
          <x14:formula1>
            <xm:f>Metas!$B$2:$B$278</xm:f>
          </x14:formula1>
          <xm:sqref>B3 J3:L3</xm:sqref>
        </x14:dataValidation>
        <x14:dataValidation type="list" allowBlank="1" showInputMessage="1" showErrorMessage="1">
          <x14:formula1>
            <xm:f>Metas!$H$2</xm:f>
          </x14:formula1>
          <xm:sqref>H15</xm:sqref>
        </x14:dataValidation>
        <x14:dataValidation type="list" errorStyle="warning" allowBlank="1" showInputMessage="1" showErrorMessage="1">
          <x14:formula1>
            <xm:f>Metas!$J$2:$J$71</xm:f>
          </x14:formula1>
          <xm:sqref>I15</xm:sqref>
        </x14:dataValidation>
        <x14:dataValidation type="list" allowBlank="1" showInputMessage="1" showErrorMessage="1">
          <x14:formula1>
            <xm:f>Metas!J4:J73</xm:f>
          </x14:formula1>
          <xm:sqref>I21</xm:sqref>
        </x14:dataValidation>
        <x14:dataValidation type="list" allowBlank="1" showInputMessage="1" showErrorMessage="1">
          <x14:formula1>
            <xm:f>Metas!B2:B278</xm:f>
          </x14:formula1>
          <xm:sqref>B3</xm:sqref>
        </x14:dataValidation>
        <x14:dataValidation type="list" allowBlank="1" showInputMessage="1" showErrorMessage="1">
          <x14:formula1>
            <xm:f>Metas!J2:J71</xm:f>
          </x14:formula1>
          <xm:sqref>I15:I18</xm:sqref>
        </x14:dataValidation>
        <x14:dataValidation type="list" allowBlank="1" showInputMessage="1" showErrorMessage="1">
          <x14:formula1>
            <xm:f>Metas!J5:J74</xm:f>
          </x14:formula1>
          <xm:sqref>I19:I20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3" tint="0.39997558519241921"/>
    <pageSetUpPr fitToPage="1"/>
  </sheetPr>
  <dimension ref="A1:V16"/>
  <sheetViews>
    <sheetView showGridLines="0" workbookViewId="0">
      <pane xSplit="1" ySplit="14" topLeftCell="J15" activePane="bottomRight" state="frozen"/>
      <selection pane="topRight" activeCell="B1" sqref="B1"/>
      <selection pane="bottomLeft" activeCell="A15" sqref="A15"/>
      <selection pane="bottomRight" sqref="A1:V16"/>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1124</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1125</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1126</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1127</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73" t="s">
        <v>1165</v>
      </c>
      <c r="C11" s="174"/>
      <c r="D11" s="174"/>
      <c r="E11" s="174"/>
      <c r="F11" s="175"/>
      <c r="G11" s="8" t="s">
        <v>3</v>
      </c>
      <c r="H11" s="157" t="s">
        <v>961</v>
      </c>
      <c r="I11" s="158"/>
      <c r="K11" s="159">
        <f>+Tabla145678910111213141516171819[[#Totals],[TOTAL]]</f>
        <v>127500</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72.75" thickBot="1" x14ac:dyDescent="0.25">
      <c r="A15" s="18" t="s">
        <v>1128</v>
      </c>
      <c r="B15" s="61" t="s">
        <v>1129</v>
      </c>
      <c r="C15" s="19">
        <v>0</v>
      </c>
      <c r="D15" s="19" t="s">
        <v>1266</v>
      </c>
      <c r="E15" s="66">
        <v>0</v>
      </c>
      <c r="F15" s="20" t="s">
        <v>1130</v>
      </c>
      <c r="G15" s="20" t="s">
        <v>961</v>
      </c>
      <c r="H15" s="61" t="s">
        <v>1003</v>
      </c>
      <c r="I15" s="61" t="s">
        <v>1014</v>
      </c>
      <c r="J15" s="37">
        <v>100000</v>
      </c>
      <c r="K15" s="37">
        <v>2500</v>
      </c>
      <c r="L15" s="37">
        <v>2500</v>
      </c>
      <c r="M15" s="37">
        <v>2500</v>
      </c>
      <c r="N15" s="37">
        <v>2500</v>
      </c>
      <c r="O15" s="37">
        <v>2500</v>
      </c>
      <c r="P15" s="37">
        <v>2500</v>
      </c>
      <c r="Q15" s="37">
        <v>2500</v>
      </c>
      <c r="R15" s="37">
        <v>2500</v>
      </c>
      <c r="S15" s="37">
        <v>2500</v>
      </c>
      <c r="T15" s="37">
        <v>2500</v>
      </c>
      <c r="U15" s="37">
        <v>2500</v>
      </c>
      <c r="V15" s="36">
        <f>SUM(Tabla145678910111213141516171819[[#This Row],[ENE]:[DIC]])</f>
        <v>127500</v>
      </c>
    </row>
    <row r="16" spans="1:22" ht="12.75" thickTop="1" x14ac:dyDescent="0.2">
      <c r="A16" s="67"/>
      <c r="B16" s="68"/>
      <c r="C16" s="68"/>
      <c r="D16" s="68"/>
      <c r="E16" s="68"/>
      <c r="F16" s="69"/>
      <c r="G16" s="69"/>
      <c r="H16" s="69"/>
      <c r="I16" s="69"/>
      <c r="J16" s="69"/>
      <c r="K16" s="69"/>
      <c r="L16" s="69"/>
      <c r="M16" s="69"/>
      <c r="N16" s="69"/>
      <c r="O16" s="69"/>
      <c r="P16" s="69"/>
      <c r="Q16" s="69"/>
      <c r="R16" s="69"/>
      <c r="S16" s="69"/>
      <c r="T16" s="69"/>
      <c r="U16" s="70" t="s">
        <v>9</v>
      </c>
      <c r="V16" s="71">
        <f>SUBTOTAL(109,Tabla145678910111213141516171819[TOTAL])</f>
        <v>127500</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3" tint="0.39997558519241921"/>
    <pageSetUpPr fitToPage="1"/>
  </sheetPr>
  <dimension ref="A1:V18"/>
  <sheetViews>
    <sheetView showGridLines="0" workbookViewId="0">
      <pane xSplit="1" ySplit="14" topLeftCell="I15" activePane="bottomRight" state="frozen"/>
      <selection pane="topRight" activeCell="B1" sqref="B1"/>
      <selection pane="bottomLeft" activeCell="A15" sqref="A15"/>
      <selection pane="bottomRight" activeCell="K24" sqref="K24"/>
    </sheetView>
  </sheetViews>
  <sheetFormatPr baseColWidth="10" defaultRowHeight="12" x14ac:dyDescent="0.2"/>
  <cols>
    <col min="1" max="1" width="25" style="8" customWidth="1"/>
    <col min="2" max="8" width="10.85546875" style="8" customWidth="1"/>
    <col min="9" max="9" width="36.42578125" style="8" customWidth="1"/>
    <col min="10" max="21" width="11.7109375" style="8" customWidth="1"/>
    <col min="22" max="22" width="16.5703125" style="8" customWidth="1"/>
    <col min="23" max="16384" width="11.42578125" style="8"/>
  </cols>
  <sheetData>
    <row r="1" spans="1:22" ht="23.25" customHeight="1" x14ac:dyDescent="0.2">
      <c r="A1" s="161" t="s">
        <v>1011</v>
      </c>
      <c r="B1" s="162"/>
      <c r="C1" s="162"/>
      <c r="D1" s="162"/>
      <c r="E1" s="162"/>
      <c r="F1" s="162"/>
      <c r="G1" s="162"/>
      <c r="H1" s="162"/>
      <c r="I1" s="162"/>
      <c r="J1" s="38" t="s">
        <v>957</v>
      </c>
      <c r="K1" s="40">
        <v>1</v>
      </c>
      <c r="L1" s="7"/>
      <c r="M1" s="7"/>
      <c r="N1" s="7"/>
      <c r="O1" s="7"/>
      <c r="P1" s="7"/>
      <c r="Q1" s="7"/>
      <c r="R1" s="7"/>
      <c r="S1" s="7"/>
      <c r="T1" s="7"/>
      <c r="U1" s="7"/>
      <c r="V1" s="7"/>
    </row>
    <row r="2" spans="1:22" ht="3.75" customHeight="1" x14ac:dyDescent="0.2">
      <c r="A2" s="9"/>
      <c r="B2" s="9"/>
      <c r="C2" s="9"/>
      <c r="D2" s="9"/>
      <c r="E2" s="9"/>
      <c r="F2" s="9"/>
      <c r="G2" s="7"/>
      <c r="H2" s="7"/>
      <c r="I2" s="7"/>
      <c r="J2" s="7"/>
      <c r="K2" s="7"/>
      <c r="L2" s="7"/>
      <c r="M2" s="7"/>
      <c r="N2" s="7"/>
      <c r="O2" s="7"/>
      <c r="P2" s="7"/>
      <c r="Q2" s="7"/>
      <c r="R2" s="7"/>
      <c r="S2" s="7"/>
      <c r="T2" s="7"/>
      <c r="U2" s="7"/>
      <c r="V2" s="7"/>
    </row>
    <row r="3" spans="1:22" ht="18.75" customHeight="1" x14ac:dyDescent="0.2">
      <c r="A3" s="10" t="s">
        <v>4</v>
      </c>
      <c r="B3" s="163" t="s">
        <v>1194</v>
      </c>
      <c r="C3" s="164"/>
      <c r="D3" s="164"/>
      <c r="E3" s="164"/>
      <c r="F3" s="164"/>
      <c r="G3" s="164"/>
      <c r="H3" s="165"/>
      <c r="I3" s="56"/>
      <c r="J3" s="56"/>
      <c r="K3" s="56"/>
      <c r="L3" s="56"/>
      <c r="M3" s="11"/>
      <c r="N3" s="11"/>
      <c r="O3" s="11"/>
      <c r="P3" s="11"/>
      <c r="Q3" s="11"/>
      <c r="R3" s="11"/>
      <c r="S3" s="11"/>
      <c r="T3" s="11"/>
      <c r="U3" s="11"/>
      <c r="V3" s="11"/>
    </row>
    <row r="4" spans="1:22" ht="3.75" customHeight="1" x14ac:dyDescent="0.2">
      <c r="B4" s="12"/>
      <c r="C4" s="12"/>
      <c r="D4" s="12"/>
      <c r="E4" s="12"/>
      <c r="F4" s="12"/>
      <c r="G4" s="12"/>
      <c r="H4" s="12"/>
      <c r="I4" s="12"/>
      <c r="J4" s="11"/>
      <c r="K4" s="11"/>
      <c r="L4" s="11"/>
      <c r="M4" s="11"/>
      <c r="N4" s="11"/>
      <c r="O4" s="11"/>
      <c r="P4" s="11"/>
      <c r="Q4" s="11"/>
      <c r="R4" s="11"/>
      <c r="S4" s="11"/>
      <c r="T4" s="11"/>
      <c r="U4" s="11"/>
      <c r="V4" s="11"/>
    </row>
    <row r="5" spans="1:22" x14ac:dyDescent="0.2">
      <c r="A5" s="8" t="s">
        <v>5</v>
      </c>
      <c r="B5" s="145" t="s">
        <v>1035</v>
      </c>
      <c r="C5" s="146"/>
      <c r="D5" s="146"/>
      <c r="E5" s="146"/>
      <c r="F5" s="146"/>
      <c r="G5" s="146"/>
      <c r="H5" s="146"/>
      <c r="I5" s="146"/>
      <c r="J5" s="146"/>
      <c r="K5" s="146"/>
      <c r="L5" s="147"/>
      <c r="M5" s="11"/>
      <c r="N5" s="11"/>
      <c r="O5" s="11"/>
      <c r="P5" s="11"/>
      <c r="Q5" s="11"/>
      <c r="R5" s="11"/>
      <c r="S5" s="11"/>
      <c r="T5" s="11"/>
      <c r="U5" s="11"/>
      <c r="V5" s="11"/>
    </row>
    <row r="6" spans="1:22" ht="3.75" customHeight="1" x14ac:dyDescent="0.2">
      <c r="B6" s="13"/>
      <c r="C6" s="13"/>
      <c r="D6" s="13"/>
      <c r="E6" s="13"/>
      <c r="F6" s="13"/>
      <c r="G6" s="13"/>
      <c r="H6" s="13"/>
      <c r="I6" s="13"/>
      <c r="J6" s="11"/>
      <c r="K6" s="11"/>
      <c r="L6" s="11"/>
      <c r="M6" s="11"/>
      <c r="N6" s="11"/>
      <c r="O6" s="11"/>
      <c r="P6" s="11"/>
      <c r="Q6" s="11"/>
      <c r="R6" s="11"/>
      <c r="S6" s="11"/>
      <c r="T6" s="11"/>
      <c r="U6" s="11"/>
      <c r="V6" s="11"/>
    </row>
    <row r="7" spans="1:22" ht="48" customHeight="1" x14ac:dyDescent="0.2">
      <c r="A7" s="14" t="s">
        <v>6</v>
      </c>
      <c r="B7" s="166" t="s">
        <v>1098</v>
      </c>
      <c r="C7" s="167"/>
      <c r="D7" s="167"/>
      <c r="E7" s="167"/>
      <c r="F7" s="167"/>
      <c r="G7" s="167"/>
      <c r="H7" s="167"/>
      <c r="I7" s="167"/>
      <c r="J7" s="167"/>
      <c r="K7" s="167"/>
      <c r="L7" s="168"/>
      <c r="M7" s="11"/>
      <c r="N7" s="11"/>
      <c r="O7" s="11"/>
      <c r="P7" s="11"/>
      <c r="Q7" s="11"/>
      <c r="R7" s="11"/>
      <c r="S7" s="11"/>
      <c r="T7" s="11"/>
      <c r="U7" s="11"/>
      <c r="V7" s="11"/>
    </row>
    <row r="8" spans="1:22" ht="3.75" customHeight="1" x14ac:dyDescent="0.2">
      <c r="B8" s="13"/>
      <c r="C8" s="13"/>
      <c r="D8" s="13"/>
      <c r="E8" s="13"/>
      <c r="F8" s="13"/>
      <c r="G8" s="13"/>
      <c r="H8" s="13"/>
      <c r="I8" s="13"/>
      <c r="J8" s="11"/>
      <c r="K8" s="11"/>
      <c r="L8" s="11"/>
      <c r="M8" s="11"/>
      <c r="N8" s="11"/>
      <c r="O8" s="11"/>
      <c r="P8" s="11"/>
      <c r="Q8" s="11"/>
      <c r="R8" s="11"/>
      <c r="S8" s="11"/>
      <c r="T8" s="11"/>
      <c r="U8" s="11"/>
      <c r="V8" s="11"/>
    </row>
    <row r="9" spans="1:22" ht="45.75" customHeight="1" x14ac:dyDescent="0.2">
      <c r="A9" s="14" t="s">
        <v>7</v>
      </c>
      <c r="B9" s="166" t="s">
        <v>1099</v>
      </c>
      <c r="C9" s="167"/>
      <c r="D9" s="167"/>
      <c r="E9" s="167"/>
      <c r="F9" s="167"/>
      <c r="G9" s="167"/>
      <c r="H9" s="167"/>
      <c r="I9" s="167"/>
      <c r="J9" s="167"/>
      <c r="K9" s="167"/>
      <c r="L9" s="168"/>
      <c r="M9" s="11"/>
      <c r="N9" s="11"/>
      <c r="O9" s="11"/>
      <c r="P9" s="11"/>
      <c r="Q9" s="11"/>
      <c r="R9" s="11"/>
      <c r="S9" s="11"/>
      <c r="T9" s="11"/>
      <c r="U9" s="11"/>
      <c r="V9" s="11"/>
    </row>
    <row r="10" spans="1:22" ht="3.75" customHeight="1" x14ac:dyDescent="0.2">
      <c r="B10" s="15"/>
      <c r="C10" s="15"/>
      <c r="D10" s="15"/>
      <c r="E10" s="15"/>
      <c r="F10" s="15"/>
      <c r="G10" s="15"/>
      <c r="H10" s="15"/>
      <c r="I10" s="15"/>
      <c r="J10" s="11"/>
      <c r="K10" s="11"/>
      <c r="L10" s="11"/>
      <c r="M10" s="11"/>
      <c r="N10" s="11"/>
      <c r="O10" s="11"/>
      <c r="P10" s="11"/>
      <c r="Q10" s="11"/>
      <c r="R10" s="11"/>
      <c r="S10" s="11"/>
      <c r="T10" s="11"/>
      <c r="U10" s="11"/>
      <c r="V10" s="11"/>
    </row>
    <row r="11" spans="1:22" x14ac:dyDescent="0.2">
      <c r="A11" s="8" t="s">
        <v>8</v>
      </c>
      <c r="B11" s="157" t="s">
        <v>1036</v>
      </c>
      <c r="C11" s="169"/>
      <c r="D11" s="169"/>
      <c r="E11" s="169"/>
      <c r="F11" s="158"/>
      <c r="G11" s="8" t="s">
        <v>3</v>
      </c>
      <c r="H11" s="157" t="s">
        <v>961</v>
      </c>
      <c r="I11" s="158"/>
      <c r="K11" s="159">
        <f>+Tabla1456[[#Totals],[TOTAL]]</f>
        <v>960997.56</v>
      </c>
      <c r="L11" s="160"/>
    </row>
    <row r="12" spans="1:22" ht="3.7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row>
    <row r="14" spans="1:22" s="17" customFormat="1" x14ac:dyDescent="0.25">
      <c r="A14" s="16" t="s">
        <v>948</v>
      </c>
      <c r="B14" s="16" t="s">
        <v>949</v>
      </c>
      <c r="C14" s="16" t="s">
        <v>950</v>
      </c>
      <c r="D14" s="16" t="s">
        <v>970</v>
      </c>
      <c r="E14" s="16" t="s">
        <v>951</v>
      </c>
      <c r="F14" s="16" t="s">
        <v>952</v>
      </c>
      <c r="G14" s="16" t="s">
        <v>953</v>
      </c>
      <c r="H14" s="16" t="s">
        <v>10</v>
      </c>
      <c r="I14" s="16" t="s">
        <v>954</v>
      </c>
      <c r="J14" s="16" t="s">
        <v>936</v>
      </c>
      <c r="K14" s="16" t="s">
        <v>937</v>
      </c>
      <c r="L14" s="16" t="s">
        <v>938</v>
      </c>
      <c r="M14" s="16" t="s">
        <v>939</v>
      </c>
      <c r="N14" s="16" t="s">
        <v>940</v>
      </c>
      <c r="O14" s="16" t="s">
        <v>941</v>
      </c>
      <c r="P14" s="16" t="s">
        <v>942</v>
      </c>
      <c r="Q14" s="16" t="s">
        <v>943</v>
      </c>
      <c r="R14" s="16" t="s">
        <v>944</v>
      </c>
      <c r="S14" s="16" t="s">
        <v>945</v>
      </c>
      <c r="T14" s="16" t="s">
        <v>946</v>
      </c>
      <c r="U14" s="16" t="s">
        <v>947</v>
      </c>
      <c r="V14" s="16" t="s">
        <v>955</v>
      </c>
    </row>
    <row r="15" spans="1:22" ht="60" x14ac:dyDescent="0.2">
      <c r="A15" s="18" t="s">
        <v>1100</v>
      </c>
      <c r="B15" s="61" t="s">
        <v>1102</v>
      </c>
      <c r="C15" s="19">
        <v>100</v>
      </c>
      <c r="D15" s="19" t="s">
        <v>1243</v>
      </c>
      <c r="E15" s="66">
        <v>8</v>
      </c>
      <c r="F15" s="20" t="s">
        <v>1008</v>
      </c>
      <c r="G15" s="20" t="s">
        <v>961</v>
      </c>
      <c r="H15" s="61" t="s">
        <v>1003</v>
      </c>
      <c r="I15" s="61" t="s">
        <v>1014</v>
      </c>
      <c r="J15" s="37">
        <f>77083.13-1238.37-13899.64</f>
        <v>61945.12000000001</v>
      </c>
      <c r="K15" s="37">
        <v>77083.13</v>
      </c>
      <c r="L15" s="37">
        <v>77083.13</v>
      </c>
      <c r="M15" s="37">
        <v>77083.13</v>
      </c>
      <c r="N15" s="37">
        <v>77083.13</v>
      </c>
      <c r="O15" s="37">
        <v>77083.13</v>
      </c>
      <c r="P15" s="37">
        <v>77083.13</v>
      </c>
      <c r="Q15" s="37">
        <v>77083.13</v>
      </c>
      <c r="R15" s="37">
        <v>77083.13</v>
      </c>
      <c r="S15" s="37">
        <v>77083.13</v>
      </c>
      <c r="T15" s="37">
        <v>77083.13</v>
      </c>
      <c r="U15" s="37">
        <v>77083.13</v>
      </c>
      <c r="V15" s="36">
        <f>SUM(Tabla1456[[#This Row],[ENE]:[DIC]])</f>
        <v>909859.55</v>
      </c>
    </row>
    <row r="16" spans="1:22" ht="60" x14ac:dyDescent="0.2">
      <c r="A16" s="72" t="s">
        <v>1101</v>
      </c>
      <c r="B16" s="61" t="s">
        <v>1171</v>
      </c>
      <c r="C16" s="59">
        <v>80</v>
      </c>
      <c r="D16" s="63" t="s">
        <v>1253</v>
      </c>
      <c r="E16" s="59">
        <v>1</v>
      </c>
      <c r="F16" s="73" t="s">
        <v>1008</v>
      </c>
      <c r="G16" s="59" t="s">
        <v>961</v>
      </c>
      <c r="H16" s="61" t="s">
        <v>1003</v>
      </c>
      <c r="I16" s="61" t="s">
        <v>1014</v>
      </c>
      <c r="J16" s="60">
        <v>3000</v>
      </c>
      <c r="K16" s="60">
        <v>3000</v>
      </c>
      <c r="L16" s="60">
        <v>3000</v>
      </c>
      <c r="M16" s="60">
        <v>3000</v>
      </c>
      <c r="N16" s="60">
        <v>3000</v>
      </c>
      <c r="O16" s="60">
        <v>3000</v>
      </c>
      <c r="P16" s="60">
        <v>3000</v>
      </c>
      <c r="Q16" s="60">
        <v>3000</v>
      </c>
      <c r="R16" s="60">
        <v>3000</v>
      </c>
      <c r="S16" s="60">
        <v>3000</v>
      </c>
      <c r="T16" s="60">
        <v>3000</v>
      </c>
      <c r="U16" s="60">
        <v>3000</v>
      </c>
      <c r="V16" s="74">
        <f>SUM(Tabla1456[[#This Row],[ENE]:[DIC]])</f>
        <v>36000</v>
      </c>
    </row>
    <row r="17" spans="1:22" ht="60.75" thickBot="1" x14ac:dyDescent="0.25">
      <c r="A17" s="18" t="s">
        <v>1196</v>
      </c>
      <c r="B17" s="61" t="s">
        <v>1195</v>
      </c>
      <c r="C17" s="19">
        <v>60</v>
      </c>
      <c r="D17" s="19" t="s">
        <v>1267</v>
      </c>
      <c r="E17" s="66">
        <v>-6</v>
      </c>
      <c r="F17" s="20" t="s">
        <v>1008</v>
      </c>
      <c r="G17" s="20" t="s">
        <v>961</v>
      </c>
      <c r="H17" s="61" t="s">
        <v>1003</v>
      </c>
      <c r="I17" s="61" t="s">
        <v>1014</v>
      </c>
      <c r="J17" s="37">
        <f>15277.56-139.55</f>
        <v>15138.01</v>
      </c>
      <c r="K17" s="37">
        <v>0</v>
      </c>
      <c r="L17" s="37">
        <v>0</v>
      </c>
      <c r="M17" s="37">
        <v>0</v>
      </c>
      <c r="N17" s="37">
        <v>0</v>
      </c>
      <c r="O17" s="37">
        <v>0</v>
      </c>
      <c r="P17" s="37">
        <v>0</v>
      </c>
      <c r="Q17" s="37">
        <v>0</v>
      </c>
      <c r="R17" s="37">
        <v>0</v>
      </c>
      <c r="S17" s="37">
        <v>0</v>
      </c>
      <c r="T17" s="37">
        <v>0</v>
      </c>
      <c r="U17" s="37">
        <v>0</v>
      </c>
      <c r="V17" s="36">
        <f>SUM(Tabla1456[[#This Row],[ENE]:[DIC]])</f>
        <v>15138.01</v>
      </c>
    </row>
    <row r="18" spans="1:22" ht="12.75" thickTop="1" x14ac:dyDescent="0.2">
      <c r="A18" s="126"/>
      <c r="B18" s="127"/>
      <c r="C18" s="127"/>
      <c r="D18" s="127"/>
      <c r="E18" s="127"/>
      <c r="F18" s="128"/>
      <c r="G18" s="128"/>
      <c r="H18" s="128"/>
      <c r="I18" s="128"/>
      <c r="J18" s="128"/>
      <c r="K18" s="128"/>
      <c r="L18" s="128"/>
      <c r="M18" s="128"/>
      <c r="N18" s="128"/>
      <c r="O18" s="128"/>
      <c r="P18" s="128"/>
      <c r="Q18" s="128"/>
      <c r="R18" s="128"/>
      <c r="S18" s="128"/>
      <c r="T18" s="128"/>
      <c r="U18" s="129" t="s">
        <v>9</v>
      </c>
      <c r="V18" s="130">
        <f>SUBTOTAL(109,Tabla1456[TOTAL])</f>
        <v>960997.56</v>
      </c>
    </row>
  </sheetData>
  <sheetProtection formatColumns="0" formatRows="0"/>
  <mergeCells count="9">
    <mergeCell ref="A1:I1"/>
    <mergeCell ref="B12:V12"/>
    <mergeCell ref="B3:H3"/>
    <mergeCell ref="B5:L5"/>
    <mergeCell ref="B7:L7"/>
    <mergeCell ref="B9:L9"/>
    <mergeCell ref="B11:F11"/>
    <mergeCell ref="H11:I11"/>
    <mergeCell ref="K11:L11"/>
  </mergeCells>
  <printOptions horizontalCentered="1" verticalCentered="1"/>
  <pageMargins left="7.874015748031496E-2" right="7.874015748031496E-2" top="0.35433070866141736" bottom="0.35433070866141736" header="0.31496062992125984" footer="0.31496062992125984"/>
  <pageSetup paperSize="190" scale="56"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Metas</vt:lpstr>
      <vt:lpstr>PORTADA</vt:lpstr>
      <vt:lpstr>RESUMEN PROGRAMAS</vt:lpstr>
      <vt:lpstr>PAGO SERVICIOS</vt:lpstr>
      <vt:lpstr>OPERACION DIF</vt:lpstr>
      <vt:lpstr>TRABAJO SOCIAL</vt:lpstr>
      <vt:lpstr>ADULTO MAYOR</vt:lpstr>
      <vt:lpstr>APCE</vt:lpstr>
      <vt:lpstr>UAVI</vt:lpstr>
      <vt:lpstr>CONSEJO MPAL DE FAMILIA</vt:lpstr>
      <vt:lpstr>COMEDOR ASISTENCIAL</vt:lpstr>
      <vt:lpstr>URR</vt:lpstr>
      <vt:lpstr>ECAPAF</vt:lpstr>
      <vt:lpstr>PAAD</vt:lpstr>
      <vt:lpstr>PAIDEA</vt:lpstr>
      <vt:lpstr>DESAYUNOS ESCOLARES</vt:lpstr>
      <vt:lpstr>SERVICIOS A LA COMUNIDAD</vt:lpstr>
      <vt:lpstr>CADI</vt:lpstr>
      <vt:lpstr>NIÑOS TRABAJADORES</vt:lpstr>
      <vt:lpstr>PREVERP</vt:lpstr>
      <vt:lpstr>NIÑOS DIFUSORES</vt:lpstr>
      <vt:lpstr>COMPARACION</vt:lpstr>
      <vt:lpstr>EJEM</vt:lpstr>
      <vt:lpstr>GUÍA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aramirez</dc:creator>
  <cp:lastModifiedBy>Usuario</cp:lastModifiedBy>
  <cp:lastPrinted>2013-03-07T14:43:44Z</cp:lastPrinted>
  <dcterms:created xsi:type="dcterms:W3CDTF">2010-11-08T16:21:57Z</dcterms:created>
  <dcterms:modified xsi:type="dcterms:W3CDTF">2013-08-06T16:15:41Z</dcterms:modified>
</cp:coreProperties>
</file>